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5C1847D7-4475-4285-987F-671EF892F360}" xr6:coauthVersionLast="47" xr6:coauthVersionMax="47" xr10:uidLastSave="{00000000-0000-0000-0000-000000000000}"/>
  <bookViews>
    <workbookView xWindow="-110" yWindow="-110" windowWidth="19420" windowHeight="10420" activeTab="3" xr2:uid="{5AE57563-B1D4-4763-863E-B6F9F5DB80FE}"/>
  </bookViews>
  <sheets>
    <sheet name="SUMMARY" sheetId="1" r:id="rId1"/>
    <sheet name="AFTER TAX INCREMENTAL CASH FLOW" sheetId="2" r:id="rId2"/>
    <sheet name="NPV, IRR" sheetId="3" r:id="rId3"/>
    <sheet name="NPV, IRR &gt;10" sheetId="4" r:id="rId4"/>
  </sheets>
  <definedNames>
    <definedName name="ADVEXP">'AFTER TAX INCREMENTAL CASH FLOW'!$L$16</definedName>
    <definedName name="ADVEXPR">'AFTER TAX INCREMENTAL CASH FLOW'!$M$16</definedName>
    <definedName name="EC">SUMMARY!$C$10</definedName>
    <definedName name="GA2NDGR">'AFTER TAX INCREMENTAL CASH FLOW'!$M$15</definedName>
    <definedName name="GAEXP">'AFTER TAX INCREMENTAL CASH FLOW'!$L$14</definedName>
    <definedName name="GAEXP2ND">'AFTER TAX INCREMENTAL CASH FLOW'!$L$15</definedName>
    <definedName name="GAGR">'AFTER TAX INCREMENTAL CASH FLOW'!$M$14</definedName>
    <definedName name="INFL">'AFTER TAX INCREMENTAL CASH FLOW'!$L$17</definedName>
    <definedName name="INTERGR">'AFTER TAX INCREMENTAL CASH FLOW'!$M$5</definedName>
    <definedName name="INTERPAR">SUMMARY!$C$13</definedName>
    <definedName name="INTERPARC">'AFTER TAX INCREMENTAL CASH FLOW'!$L$5</definedName>
    <definedName name="INTERSC">'AFTER TAX INCREMENTAL CASH FLOW'!$L$9</definedName>
    <definedName name="NEWPAR">'AFTER TAX INCREMENTAL CASH FLOW'!$L$10</definedName>
    <definedName name="NEWPARGR">'AFTER TAX INCREMENTAL CASH FLOW'!$M$10</definedName>
    <definedName name="SERVERCOSR">'AFTER TAX INCREMENTAL CASH FLOW'!$L$12</definedName>
    <definedName name="SERVERCOST">'AFTER TAX INCREMENTAL CASH FLOW'!$L$12</definedName>
    <definedName name="USRUSGR">'AFTER TAX INCREMENTAL CASH FLOW'!$M$4</definedName>
    <definedName name="USRUSPAR">SUMMARY!$C$12</definedName>
    <definedName name="USSC">'AFTER TAX INCREMENTAL CASH FLOW'!$L$8</definedName>
    <definedName name="USSRPAR">'AFTER TAX INCREMENTAL CASH FLOW'!$L$4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8" i="2"/>
  <c r="D7" i="2"/>
  <c r="D25" i="2"/>
  <c r="D5" i="2"/>
  <c r="D4" i="2"/>
  <c r="L57" i="4"/>
  <c r="G57" i="4"/>
  <c r="L56" i="4"/>
  <c r="L58" i="4" s="1"/>
  <c r="G56" i="4"/>
  <c r="G55" i="4"/>
  <c r="L35" i="4"/>
  <c r="G35" i="4"/>
  <c r="L34" i="4"/>
  <c r="L36" i="4" s="1"/>
  <c r="G34" i="4"/>
  <c r="G33" i="4"/>
  <c r="L13" i="4"/>
  <c r="G13" i="4"/>
  <c r="L12" i="4"/>
  <c r="L14" i="4" s="1"/>
  <c r="G12" i="4"/>
  <c r="G11" i="4"/>
  <c r="C6" i="4"/>
  <c r="G58" i="4" s="1"/>
  <c r="C5" i="4"/>
  <c r="G14" i="4" s="1"/>
  <c r="C4" i="4"/>
  <c r="G15" i="4" s="1"/>
  <c r="D18" i="2"/>
  <c r="D39" i="2" s="1"/>
  <c r="D61" i="2" s="1"/>
  <c r="D82" i="2" s="1"/>
  <c r="D103" i="2" s="1"/>
  <c r="D124" i="2" s="1"/>
  <c r="D145" i="2" s="1"/>
  <c r="D166" i="2" s="1"/>
  <c r="D187" i="2" s="1"/>
  <c r="D209" i="2" s="1"/>
  <c r="D27" i="4" s="1"/>
  <c r="D49" i="4" s="1"/>
  <c r="D71" i="4" s="1"/>
  <c r="D200" i="2"/>
  <c r="G196" i="2"/>
  <c r="G175" i="2"/>
  <c r="G154" i="2"/>
  <c r="G133" i="2"/>
  <c r="G112" i="2"/>
  <c r="G92" i="2"/>
  <c r="G70" i="2"/>
  <c r="G49" i="2"/>
  <c r="G28" i="2"/>
  <c r="G8" i="2"/>
  <c r="G10" i="2" s="1"/>
  <c r="G69" i="2"/>
  <c r="L196" i="2"/>
  <c r="G195" i="2"/>
  <c r="L195" i="2"/>
  <c r="L197" i="2" s="1"/>
  <c r="D195" i="2" s="1"/>
  <c r="G194" i="2"/>
  <c r="G193" i="2"/>
  <c r="L175" i="2"/>
  <c r="G174" i="2"/>
  <c r="L174" i="2"/>
  <c r="L176" i="2" s="1"/>
  <c r="G173" i="2"/>
  <c r="G172" i="2"/>
  <c r="L154" i="2"/>
  <c r="G153" i="2"/>
  <c r="L153" i="2"/>
  <c r="L155" i="2" s="1"/>
  <c r="G152" i="2"/>
  <c r="G151" i="2"/>
  <c r="L133" i="2"/>
  <c r="G132" i="2"/>
  <c r="L132" i="2"/>
  <c r="G131" i="2"/>
  <c r="G130" i="2"/>
  <c r="L112" i="2"/>
  <c r="G111" i="2"/>
  <c r="L111" i="2"/>
  <c r="L113" i="2" s="1"/>
  <c r="D110" i="2" s="1"/>
  <c r="G110" i="2"/>
  <c r="G109" i="2"/>
  <c r="G91" i="2"/>
  <c r="C36" i="3" s="1"/>
  <c r="E36" i="3" s="1"/>
  <c r="L91" i="2"/>
  <c r="G90" i="2"/>
  <c r="L90" i="2"/>
  <c r="L92" i="2" s="1"/>
  <c r="G89" i="2"/>
  <c r="G88" i="2"/>
  <c r="L70" i="2"/>
  <c r="L69" i="2"/>
  <c r="L71" i="2" s="1"/>
  <c r="G68" i="2"/>
  <c r="G67" i="2"/>
  <c r="G48" i="2"/>
  <c r="G47" i="2"/>
  <c r="G46" i="2"/>
  <c r="G27" i="2"/>
  <c r="G25" i="2"/>
  <c r="L49" i="2"/>
  <c r="L27" i="2"/>
  <c r="L48" i="2"/>
  <c r="L50" i="2" s="1"/>
  <c r="L26" i="2"/>
  <c r="L28" i="2" s="1"/>
  <c r="G26" i="2"/>
  <c r="L8" i="2"/>
  <c r="L115" i="2" s="1"/>
  <c r="L4" i="2"/>
  <c r="L172" i="2" s="1"/>
  <c r="L9" i="2"/>
  <c r="L179" i="2" s="1"/>
  <c r="L180" i="2" s="1"/>
  <c r="L6" i="2"/>
  <c r="L5" i="2"/>
  <c r="F3" i="4" s="1"/>
  <c r="C30" i="1"/>
  <c r="G18" i="1"/>
  <c r="C18" i="1" s="1"/>
  <c r="C19" i="1" s="1"/>
  <c r="L13" i="2" s="1"/>
  <c r="C3" i="4" s="1"/>
  <c r="C6" i="1"/>
  <c r="F5" i="4" l="1"/>
  <c r="G5" i="4" s="1"/>
  <c r="D12" i="4"/>
  <c r="L17" i="4"/>
  <c r="L18" i="4" s="1"/>
  <c r="D16" i="4" s="1"/>
  <c r="G157" i="2"/>
  <c r="D12" i="3" s="1"/>
  <c r="L194" i="2"/>
  <c r="L198" i="2" s="1"/>
  <c r="G73" i="2"/>
  <c r="D8" i="3" s="1"/>
  <c r="G136" i="2"/>
  <c r="D29" i="3" s="1"/>
  <c r="L61" i="4"/>
  <c r="L62" i="4" s="1"/>
  <c r="D60" i="4" s="1"/>
  <c r="C18" i="3"/>
  <c r="E18" i="3" s="1"/>
  <c r="L46" i="2"/>
  <c r="F4" i="4"/>
  <c r="G4" i="4" s="1"/>
  <c r="L33" i="4"/>
  <c r="L37" i="4" s="1"/>
  <c r="J18" i="3"/>
  <c r="L18" i="3" s="1"/>
  <c r="L11" i="4"/>
  <c r="L10" i="4"/>
  <c r="L38" i="4"/>
  <c r="L55" i="4"/>
  <c r="L59" i="4" s="1"/>
  <c r="L54" i="4"/>
  <c r="L193" i="2"/>
  <c r="L16" i="4"/>
  <c r="L32" i="4"/>
  <c r="L39" i="4"/>
  <c r="L40" i="4" s="1"/>
  <c r="D38" i="4" s="1"/>
  <c r="L60" i="4"/>
  <c r="D41" i="3"/>
  <c r="G52" i="2"/>
  <c r="D23" i="3"/>
  <c r="G62" i="4"/>
  <c r="J79" i="4"/>
  <c r="D5" i="3"/>
  <c r="C54" i="3"/>
  <c r="E54" i="3" s="1"/>
  <c r="G3" i="4"/>
  <c r="K5" i="3"/>
  <c r="G18" i="4"/>
  <c r="D34" i="4"/>
  <c r="D56" i="4"/>
  <c r="G40" i="4"/>
  <c r="G94" i="2"/>
  <c r="G115" i="2"/>
  <c r="G200" i="2"/>
  <c r="G178" i="2"/>
  <c r="D177" i="2"/>
  <c r="L131" i="2"/>
  <c r="L135" i="2" s="1"/>
  <c r="D89" i="2"/>
  <c r="D152" i="2"/>
  <c r="G31" i="2"/>
  <c r="L30" i="2"/>
  <c r="L73" i="2"/>
  <c r="L109" i="2"/>
  <c r="L136" i="2"/>
  <c r="L173" i="2"/>
  <c r="D172" i="2" s="1"/>
  <c r="L25" i="2"/>
  <c r="L29" i="2" s="1"/>
  <c r="N29" i="2" s="1"/>
  <c r="D68" i="2"/>
  <c r="L88" i="2"/>
  <c r="L47" i="2"/>
  <c r="L51" i="2" s="1"/>
  <c r="N50" i="2" s="1"/>
  <c r="D47" i="2"/>
  <c r="L67" i="2"/>
  <c r="L157" i="2"/>
  <c r="L199" i="2"/>
  <c r="L53" i="2"/>
  <c r="L54" i="2" s="1"/>
  <c r="D51" i="2" s="1"/>
  <c r="L151" i="2"/>
  <c r="L158" i="2"/>
  <c r="L159" i="2" s="1"/>
  <c r="D156" i="2" s="1"/>
  <c r="L200" i="2"/>
  <c r="L201" i="2" s="1"/>
  <c r="D199" i="2" s="1"/>
  <c r="L52" i="2"/>
  <c r="L74" i="2"/>
  <c r="L75" i="2" s="1"/>
  <c r="D72" i="2" s="1"/>
  <c r="L89" i="2"/>
  <c r="L110" i="2"/>
  <c r="L114" i="2" s="1"/>
  <c r="N113" i="2" s="1"/>
  <c r="L130" i="2"/>
  <c r="L137" i="2"/>
  <c r="L138" i="2" s="1"/>
  <c r="D135" i="2" s="1"/>
  <c r="L178" i="2"/>
  <c r="D175" i="2" s="1"/>
  <c r="L31" i="2"/>
  <c r="L32" i="2" s="1"/>
  <c r="D30" i="2" s="1"/>
  <c r="L95" i="2"/>
  <c r="L96" i="2" s="1"/>
  <c r="D93" i="2" s="1"/>
  <c r="L116" i="2"/>
  <c r="L117" i="2" s="1"/>
  <c r="D114" i="2" s="1"/>
  <c r="L68" i="2"/>
  <c r="L72" i="2" s="1"/>
  <c r="N71" i="2" s="1"/>
  <c r="L94" i="2"/>
  <c r="L152" i="2"/>
  <c r="D173" i="2"/>
  <c r="L134" i="2"/>
  <c r="D131" i="2" s="1"/>
  <c r="D26" i="2"/>
  <c r="D10" i="2"/>
  <c r="D11" i="3" l="1"/>
  <c r="J86" i="4"/>
  <c r="D15" i="4"/>
  <c r="K11" i="3"/>
  <c r="D47" i="3"/>
  <c r="J82" i="4"/>
  <c r="K12" i="3"/>
  <c r="D14" i="4"/>
  <c r="D48" i="3"/>
  <c r="J87" i="4"/>
  <c r="L177" i="2"/>
  <c r="D70" i="2"/>
  <c r="D30" i="3"/>
  <c r="L15" i="4"/>
  <c r="D44" i="3"/>
  <c r="D11" i="4"/>
  <c r="D33" i="4"/>
  <c r="D26" i="3"/>
  <c r="K8" i="3"/>
  <c r="D59" i="4"/>
  <c r="D71" i="2"/>
  <c r="D151" i="2"/>
  <c r="D92" i="2"/>
  <c r="D58" i="4"/>
  <c r="D17" i="2"/>
  <c r="D19" i="2" s="1"/>
  <c r="D20" i="2" s="1"/>
  <c r="D21" i="2" s="1"/>
  <c r="J5" i="3"/>
  <c r="L5" i="3" s="1"/>
  <c r="C23" i="3"/>
  <c r="E23" i="3" s="1"/>
  <c r="C5" i="3"/>
  <c r="E5" i="3" s="1"/>
  <c r="C41" i="3"/>
  <c r="E41" i="3" s="1"/>
  <c r="I79" i="4"/>
  <c r="K79" i="4" s="1"/>
  <c r="D130" i="2"/>
  <c r="D109" i="2"/>
  <c r="D37" i="4"/>
  <c r="D198" i="2"/>
  <c r="D55" i="4"/>
  <c r="D36" i="4"/>
  <c r="K9" i="3"/>
  <c r="J83" i="4"/>
  <c r="D45" i="3"/>
  <c r="D9" i="3"/>
  <c r="D27" i="3"/>
  <c r="K13" i="3"/>
  <c r="J88" i="4"/>
  <c r="D31" i="3"/>
  <c r="D49" i="3"/>
  <c r="D13" i="3"/>
  <c r="D97" i="4"/>
  <c r="D88" i="4"/>
  <c r="D99" i="4"/>
  <c r="D90" i="4"/>
  <c r="L93" i="2"/>
  <c r="N92" i="2" s="1"/>
  <c r="D112" i="2"/>
  <c r="D133" i="2"/>
  <c r="J89" i="4"/>
  <c r="D32" i="3"/>
  <c r="K14" i="3"/>
  <c r="D50" i="3"/>
  <c r="D14" i="3"/>
  <c r="D80" i="4"/>
  <c r="J85" i="4"/>
  <c r="D46" i="3"/>
  <c r="D28" i="3"/>
  <c r="K10" i="3"/>
  <c r="D10" i="3"/>
  <c r="J92" i="4"/>
  <c r="J80" i="4"/>
  <c r="K6" i="3"/>
  <c r="D42" i="3"/>
  <c r="D24" i="3"/>
  <c r="D6" i="3"/>
  <c r="D25" i="3"/>
  <c r="D7" i="3"/>
  <c r="J81" i="4"/>
  <c r="D43" i="3"/>
  <c r="K7" i="3"/>
  <c r="D98" i="4"/>
  <c r="D89" i="4"/>
  <c r="J90" i="4"/>
  <c r="D78" i="4"/>
  <c r="D79" i="4"/>
  <c r="J91" i="4"/>
  <c r="D91" i="2"/>
  <c r="D154" i="2"/>
  <c r="D29" i="2"/>
  <c r="D176" i="2"/>
  <c r="D178" i="2" s="1"/>
  <c r="D197" i="2"/>
  <c r="D194" i="2"/>
  <c r="D88" i="2"/>
  <c r="D134" i="2"/>
  <c r="D46" i="2"/>
  <c r="D49" i="2"/>
  <c r="D28" i="2"/>
  <c r="D67" i="2"/>
  <c r="D155" i="2"/>
  <c r="D113" i="2"/>
  <c r="L156" i="2"/>
  <c r="D50" i="2"/>
  <c r="D13" i="2"/>
  <c r="D14" i="2"/>
  <c r="D15" i="2"/>
  <c r="D18" i="4" l="1"/>
  <c r="I90" i="4" s="1"/>
  <c r="K90" i="4" s="1"/>
  <c r="D62" i="4"/>
  <c r="D65" i="4" s="1"/>
  <c r="D73" i="2"/>
  <c r="J8" i="3" s="1"/>
  <c r="L8" i="3" s="1"/>
  <c r="D136" i="2"/>
  <c r="D144" i="2" s="1"/>
  <c r="D146" i="2" s="1"/>
  <c r="D147" i="2" s="1"/>
  <c r="D148" i="2" s="1"/>
  <c r="D26" i="4"/>
  <c r="D28" i="4" s="1"/>
  <c r="D29" i="4" s="1"/>
  <c r="D30" i="4" s="1"/>
  <c r="D40" i="4"/>
  <c r="D94" i="2"/>
  <c r="D99" i="2" s="1"/>
  <c r="D182" i="2"/>
  <c r="C49" i="3"/>
  <c r="E49" i="3" s="1"/>
  <c r="J13" i="3"/>
  <c r="L13" i="3" s="1"/>
  <c r="C31" i="3"/>
  <c r="E31" i="3" s="1"/>
  <c r="I88" i="4"/>
  <c r="K88" i="4" s="1"/>
  <c r="C13" i="3"/>
  <c r="E13" i="3" s="1"/>
  <c r="D115" i="2"/>
  <c r="D119" i="2" s="1"/>
  <c r="I86" i="4"/>
  <c r="K86" i="4" s="1"/>
  <c r="D183" i="2"/>
  <c r="D181" i="2"/>
  <c r="D201" i="2"/>
  <c r="I89" i="4" s="1"/>
  <c r="K89" i="4" s="1"/>
  <c r="D186" i="2"/>
  <c r="D188" i="2" s="1"/>
  <c r="D189" i="2" s="1"/>
  <c r="D190" i="2" s="1"/>
  <c r="D157" i="2"/>
  <c r="D162" i="2" s="1"/>
  <c r="D31" i="2"/>
  <c r="D35" i="2" s="1"/>
  <c r="D52" i="2"/>
  <c r="C99" i="4" l="1"/>
  <c r="E99" i="4" s="1"/>
  <c r="D67" i="4"/>
  <c r="D70" i="4"/>
  <c r="D72" i="4" s="1"/>
  <c r="D73" i="4" s="1"/>
  <c r="D74" i="4" s="1"/>
  <c r="D77" i="2"/>
  <c r="C78" i="4"/>
  <c r="E78" i="4" s="1"/>
  <c r="C88" i="4"/>
  <c r="E88" i="4" s="1"/>
  <c r="D78" i="2"/>
  <c r="C97" i="4"/>
  <c r="E97" i="4" s="1"/>
  <c r="D118" i="2"/>
  <c r="C11" i="3"/>
  <c r="E11" i="3" s="1"/>
  <c r="C26" i="3"/>
  <c r="E26" i="3" s="1"/>
  <c r="D21" i="4"/>
  <c r="D22" i="4"/>
  <c r="C98" i="4"/>
  <c r="E98" i="4" s="1"/>
  <c r="C47" i="3"/>
  <c r="E47" i="3" s="1"/>
  <c r="D23" i="4"/>
  <c r="C27" i="3"/>
  <c r="E27" i="3" s="1"/>
  <c r="D141" i="2"/>
  <c r="D140" i="2"/>
  <c r="I92" i="4"/>
  <c r="K92" i="4" s="1"/>
  <c r="J11" i="3"/>
  <c r="L11" i="3" s="1"/>
  <c r="D120" i="2"/>
  <c r="C29" i="3"/>
  <c r="E29" i="3" s="1"/>
  <c r="D139" i="2"/>
  <c r="D102" i="2"/>
  <c r="D104" i="2" s="1"/>
  <c r="D105" i="2" s="1"/>
  <c r="D106" i="2" s="1"/>
  <c r="D66" i="4"/>
  <c r="C44" i="3"/>
  <c r="E44" i="3" s="1"/>
  <c r="I82" i="4"/>
  <c r="K82" i="4" s="1"/>
  <c r="D76" i="2"/>
  <c r="C80" i="4"/>
  <c r="E80" i="4" s="1"/>
  <c r="C8" i="3"/>
  <c r="E8" i="3" s="1"/>
  <c r="D97" i="2"/>
  <c r="C90" i="4"/>
  <c r="E90" i="4" s="1"/>
  <c r="J9" i="3"/>
  <c r="L9" i="3" s="1"/>
  <c r="D44" i="4"/>
  <c r="C79" i="4"/>
  <c r="E79" i="4" s="1"/>
  <c r="D48" i="4"/>
  <c r="D50" i="4" s="1"/>
  <c r="D51" i="4" s="1"/>
  <c r="D52" i="4" s="1"/>
  <c r="D43" i="4"/>
  <c r="I91" i="4"/>
  <c r="K91" i="4" s="1"/>
  <c r="C89" i="4"/>
  <c r="E89" i="4" s="1"/>
  <c r="D45" i="4"/>
  <c r="D38" i="2"/>
  <c r="D40" i="2" s="1"/>
  <c r="D41" i="2" s="1"/>
  <c r="D42" i="2" s="1"/>
  <c r="D123" i="2"/>
  <c r="D125" i="2" s="1"/>
  <c r="D126" i="2" s="1"/>
  <c r="D127" i="2" s="1"/>
  <c r="D98" i="2"/>
  <c r="C9" i="3"/>
  <c r="E9" i="3" s="1"/>
  <c r="I83" i="4"/>
  <c r="K83" i="4" s="1"/>
  <c r="C45" i="3"/>
  <c r="E45" i="3" s="1"/>
  <c r="I81" i="4"/>
  <c r="K81" i="4" s="1"/>
  <c r="C43" i="3"/>
  <c r="E43" i="3" s="1"/>
  <c r="C25" i="3"/>
  <c r="E25" i="3" s="1"/>
  <c r="D36" i="2"/>
  <c r="C24" i="3"/>
  <c r="E24" i="3" s="1"/>
  <c r="I80" i="4"/>
  <c r="K80" i="4" s="1"/>
  <c r="C6" i="3"/>
  <c r="E6" i="3" s="1"/>
  <c r="J6" i="3"/>
  <c r="L6" i="3" s="1"/>
  <c r="C42" i="3"/>
  <c r="E42" i="3" s="1"/>
  <c r="C28" i="3"/>
  <c r="E28" i="3" s="1"/>
  <c r="I85" i="4"/>
  <c r="K85" i="4" s="1"/>
  <c r="C46" i="3"/>
  <c r="E46" i="3" s="1"/>
  <c r="J10" i="3"/>
  <c r="L10" i="3" s="1"/>
  <c r="C10" i="3"/>
  <c r="E10" i="3" s="1"/>
  <c r="J12" i="3"/>
  <c r="L12" i="3" s="1"/>
  <c r="C12" i="3"/>
  <c r="E12" i="3" s="1"/>
  <c r="C48" i="3"/>
  <c r="E48" i="3" s="1"/>
  <c r="C30" i="3"/>
  <c r="E30" i="3" s="1"/>
  <c r="I87" i="4"/>
  <c r="K87" i="4" s="1"/>
  <c r="C32" i="3"/>
  <c r="E32" i="3" s="1"/>
  <c r="C50" i="3"/>
  <c r="E50" i="3" s="1"/>
  <c r="J14" i="3"/>
  <c r="L14" i="3" s="1"/>
  <c r="C14" i="3"/>
  <c r="E14" i="3" s="1"/>
  <c r="D204" i="2"/>
  <c r="D203" i="2"/>
  <c r="D208" i="2"/>
  <c r="D210" i="2" s="1"/>
  <c r="D211" i="2" s="1"/>
  <c r="D212" i="2" s="1"/>
  <c r="D205" i="2"/>
  <c r="J7" i="3"/>
  <c r="L7" i="3" s="1"/>
  <c r="C7" i="3"/>
  <c r="E7" i="3" s="1"/>
  <c r="D34" i="2"/>
  <c r="D165" i="2"/>
  <c r="D167" i="2" s="1"/>
  <c r="D168" i="2" s="1"/>
  <c r="D169" i="2" s="1"/>
  <c r="D160" i="2"/>
  <c r="D161" i="2"/>
  <c r="D55" i="2"/>
  <c r="D56" i="2"/>
  <c r="D60" i="2"/>
  <c r="D62" i="2" s="1"/>
  <c r="D63" i="2" s="1"/>
  <c r="D64" i="2" s="1"/>
  <c r="D57" i="2"/>
  <c r="D81" i="2"/>
  <c r="D83" i="2" s="1"/>
  <c r="K95" i="4" l="1"/>
  <c r="E91" i="4"/>
  <c r="E92" i="4" s="1"/>
  <c r="E82" i="4"/>
  <c r="E83" i="4" s="1"/>
  <c r="J16" i="3"/>
  <c r="L16" i="3" s="1"/>
  <c r="L19" i="3" s="1"/>
  <c r="E100" i="4"/>
  <c r="E101" i="4" s="1"/>
  <c r="C52" i="3"/>
  <c r="E52" i="3" s="1"/>
  <c r="E55" i="3" s="1"/>
  <c r="C16" i="3"/>
  <c r="E16" i="3" s="1"/>
  <c r="E19" i="3" s="1"/>
  <c r="C34" i="3"/>
  <c r="E34" i="3" s="1"/>
  <c r="E37" i="3" s="1"/>
  <c r="D84" i="2"/>
  <c r="D85" i="2" s="1"/>
</calcChain>
</file>

<file path=xl/sharedStrings.xml><?xml version="1.0" encoding="utf-8"?>
<sst xmlns="http://schemas.openxmlformats.org/spreadsheetml/2006/main" count="686" uniqueCount="140">
  <si>
    <t>R&amp;D EXPENSES</t>
  </si>
  <si>
    <t>Salvage Value</t>
  </si>
  <si>
    <t>Straignt line depreciation value</t>
  </si>
  <si>
    <t>US &amp; Russia participants</t>
  </si>
  <si>
    <t>International Participants</t>
  </si>
  <si>
    <t>US &amp; RUSSIA</t>
  </si>
  <si>
    <t>INTERNATIONAL</t>
  </si>
  <si>
    <t>W/O ALTERNIUM</t>
  </si>
  <si>
    <t>W ALTERNIUJM</t>
  </si>
  <si>
    <t>5% for next 10 years</t>
  </si>
  <si>
    <t xml:space="preserve">5% for next years </t>
  </si>
  <si>
    <t>10% for next years</t>
  </si>
  <si>
    <t>8% for next years</t>
  </si>
  <si>
    <t>Pricing and unit costs</t>
  </si>
  <si>
    <t>Exchange charges</t>
  </si>
  <si>
    <t>Servicing costs</t>
  </si>
  <si>
    <t xml:space="preserve"> (expected to grow at inflation rate)</t>
  </si>
  <si>
    <t xml:space="preserve">New participants </t>
  </si>
  <si>
    <t>Server facilities &amp; costs</t>
  </si>
  <si>
    <t>server usage</t>
  </si>
  <si>
    <t>(expected to keeptrack w no. of international participants over time)</t>
  </si>
  <si>
    <t>each 1% is used by how many international particiapants</t>
  </si>
  <si>
    <t xml:space="preserve">Server will reach max capacity at </t>
  </si>
  <si>
    <t>Cost of buying a new server</t>
  </si>
  <si>
    <t>(cost will grow at inflation rate)</t>
  </si>
  <si>
    <t>G &amp; A expenses</t>
  </si>
  <si>
    <t>Advertising expenses</t>
  </si>
  <si>
    <t>Doesn’t invest in new pool</t>
  </si>
  <si>
    <t>If new pool built</t>
  </si>
  <si>
    <t>cost increases 5% a year</t>
  </si>
  <si>
    <t>cost increases 15% a year</t>
  </si>
  <si>
    <t>Working capital</t>
  </si>
  <si>
    <t>Accounts receivable</t>
  </si>
  <si>
    <t>5% of revenues</t>
  </si>
  <si>
    <t>10% of revenues</t>
  </si>
  <si>
    <t>Inventory</t>
  </si>
  <si>
    <t>Accounts payable</t>
  </si>
  <si>
    <t>6% of revenues</t>
  </si>
  <si>
    <t>to be made at beginning of year</t>
  </si>
  <si>
    <t>Side benefits</t>
  </si>
  <si>
    <t>expected to increase 3% a year</t>
  </si>
  <si>
    <t>pre tax</t>
  </si>
  <si>
    <t>Equity</t>
  </si>
  <si>
    <t>Debt</t>
  </si>
  <si>
    <t>Taxes</t>
  </si>
  <si>
    <t>Bond rate</t>
  </si>
  <si>
    <t>Inflation rate</t>
  </si>
  <si>
    <t>Cost Of Capital</t>
  </si>
  <si>
    <t>year 1 then grows at 8% a year</t>
  </si>
  <si>
    <t>cost for new participants</t>
  </si>
  <si>
    <t>60% of cost of servicing inernational participants</t>
  </si>
  <si>
    <t>PARTICULARS</t>
  </si>
  <si>
    <t>COMMENTS</t>
  </si>
  <si>
    <t>SUMMARY</t>
  </si>
  <si>
    <t>%age</t>
  </si>
  <si>
    <t>(recently)(expected to grow 5% a year)</t>
  </si>
  <si>
    <t>next year G &amp; A expenses</t>
  </si>
  <si>
    <t>expected to grow at 10% a year</t>
  </si>
  <si>
    <t>Introductory Costs/Infra</t>
  </si>
  <si>
    <t>EXCHANGE CHARGES</t>
  </si>
  <si>
    <t>SERVICE COST</t>
  </si>
  <si>
    <t>US&amp;RUSSIA PARTICIPANTS</t>
  </si>
  <si>
    <t>INTERNATIONAL PARTICIPANTS</t>
  </si>
  <si>
    <t>G&amp;A EXPENSES</t>
  </si>
  <si>
    <t>ADVERTISING EXPENSES</t>
  </si>
  <si>
    <t>EXCHANGE CHARGES TO NEW PARTICIPANTS</t>
  </si>
  <si>
    <t>NEW PARTICIPANTS</t>
  </si>
  <si>
    <t>EBT</t>
  </si>
  <si>
    <t>TAX</t>
  </si>
  <si>
    <t>INTEREST</t>
  </si>
  <si>
    <t>REVENUE</t>
  </si>
  <si>
    <t>TOTAL REVENUE</t>
  </si>
  <si>
    <t>EXPENSES</t>
  </si>
  <si>
    <t>R&amp;D</t>
  </si>
  <si>
    <t>INFRA</t>
  </si>
  <si>
    <t>G&amp;A</t>
  </si>
  <si>
    <t>ADVERTISING</t>
  </si>
  <si>
    <t>TOTAL EXPENSES</t>
  </si>
  <si>
    <t>A/C RECEIVABLE</t>
  </si>
  <si>
    <t>INVENTORY</t>
  </si>
  <si>
    <t>A/C PAYABLE</t>
  </si>
  <si>
    <t>REVENUE-EXPENSES(EBIT)</t>
  </si>
  <si>
    <t>AFTER TAX INCREMENTAL CASH FLOW</t>
  </si>
  <si>
    <t>YEAR 0-1</t>
  </si>
  <si>
    <t>WORKING CAPITAL</t>
  </si>
  <si>
    <r>
      <t>REVENUE</t>
    </r>
    <r>
      <rPr>
        <sz val="16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EXPENSES(EBIT)</t>
    </r>
  </si>
  <si>
    <t>YEAR 1-2</t>
  </si>
  <si>
    <t>GROWTH RATE</t>
  </si>
  <si>
    <t>SERVICING COSTS</t>
  </si>
  <si>
    <t>NEW PARTICIPANTS EXCHANGE CHARGES</t>
  </si>
  <si>
    <t>SERVER COST</t>
  </si>
  <si>
    <t>SERVER TO BE UPGRADED WHEN ~ INTERNATIONAL PARTICIPANTS</t>
  </si>
  <si>
    <t>2ND YEAR</t>
  </si>
  <si>
    <t>INFLATION</t>
  </si>
  <si>
    <t>EXCHANGE CAHRGES</t>
  </si>
  <si>
    <t>SERVICE COSTS</t>
  </si>
  <si>
    <t>TOTAL INTERNATIONAL PARTICIPANTS</t>
  </si>
  <si>
    <t>US&amp;RUSSIA SERVICE COSTS</t>
  </si>
  <si>
    <t>INTERNATIONAL PARTICIPANTS SERVICE COSTS</t>
  </si>
  <si>
    <t>NEW PARTICIPANTS SERVICE COST</t>
  </si>
  <si>
    <t>ADDITIONAL G&amp;A</t>
  </si>
  <si>
    <t>Year 2-3</t>
  </si>
  <si>
    <t>YEAR 3-4</t>
  </si>
  <si>
    <t>YEAR 4-5</t>
  </si>
  <si>
    <t>YEAR 5-6</t>
  </si>
  <si>
    <t>YEAR 6-7</t>
  </si>
  <si>
    <t>YEAR 7-8</t>
  </si>
  <si>
    <t>YEAR 8-9</t>
  </si>
  <si>
    <t>YEAR 9-10</t>
  </si>
  <si>
    <t>HALF OF EXCHANGE CHARGES</t>
  </si>
  <si>
    <t>SHOULD NEW SERVER BE INSTALLED?</t>
  </si>
  <si>
    <t>USEFUL VALUES</t>
  </si>
  <si>
    <t>TIME</t>
  </si>
  <si>
    <t>TIME PERIOD</t>
  </si>
  <si>
    <t>DEPRECIATION</t>
  </si>
  <si>
    <t>SALVAGE VALUE</t>
  </si>
  <si>
    <t>NPV AT 11%(COST OF CAPITAL)</t>
  </si>
  <si>
    <t>YEAR 2-3</t>
  </si>
  <si>
    <t xml:space="preserve">YEAR 7-8 </t>
  </si>
  <si>
    <t xml:space="preserve">YEAR 8-9 </t>
  </si>
  <si>
    <t>NPV</t>
  </si>
  <si>
    <t>IRR</t>
  </si>
  <si>
    <t>ASSETS</t>
  </si>
  <si>
    <t>NPV AT</t>
  </si>
  <si>
    <t>ASSUMPTIONS</t>
  </si>
  <si>
    <t xml:space="preserve">NEW SERVER NEEDED </t>
  </si>
  <si>
    <t>R&amp;D NEEDED</t>
  </si>
  <si>
    <t>INFRA NEEDED</t>
  </si>
  <si>
    <t>NO. OF INTERNATIONAL PARTICIPANTS</t>
  </si>
  <si>
    <t>THUS NEW SERVER IS TO BE INSTALLED IN 12TH YEAR</t>
  </si>
  <si>
    <t>YEAR 10-11</t>
  </si>
  <si>
    <t>YEAR 11-12</t>
  </si>
  <si>
    <t>YEAR 12-13</t>
  </si>
  <si>
    <t>Column1</t>
  </si>
  <si>
    <t>Column2</t>
  </si>
  <si>
    <t xml:space="preserve"> 4,72,50,000.00 </t>
  </si>
  <si>
    <t>NEW SERVER REQUIRED?</t>
  </si>
  <si>
    <t>0-10 NPV</t>
  </si>
  <si>
    <t xml:space="preserve"> </t>
  </si>
  <si>
    <t>NEW SERVER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</si>
</sst>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-[$$-409]* #,##0.00_ ;_-[$$-409]* \-#,##0.00\ ;_-[$$-409]* &quot;-&quot;??_ ;_-@_ 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 val="singleAccounting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wrapText="1"/>
    </xf>
    <xf numFmtId="9" fontId="0" fillId="0" borderId="1" xfId="0" applyNumberForma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43" fontId="0" fillId="0" borderId="0" xfId="1" applyFont="1"/>
    <xf numFmtId="0" fontId="0" fillId="0" borderId="1" xfId="0" applyBorder="1" applyAlignment="1">
      <alignment wrapText="1"/>
    </xf>
    <xf numFmtId="43" fontId="0" fillId="0" borderId="1" xfId="1" applyFont="1" applyBorder="1"/>
    <xf numFmtId="0" fontId="0" fillId="0" borderId="0" xfId="0" applyBorder="1"/>
    <xf numFmtId="164" fontId="0" fillId="0" borderId="0" xfId="0" applyNumberFormat="1" applyBorder="1"/>
    <xf numFmtId="9" fontId="0" fillId="0" borderId="0" xfId="0" applyNumberFormat="1"/>
    <xf numFmtId="164" fontId="0" fillId="0" borderId="0" xfId="0" applyNumberFormat="1"/>
    <xf numFmtId="43" fontId="0" fillId="0" borderId="0" xfId="0" applyNumberFormat="1"/>
    <xf numFmtId="164" fontId="0" fillId="0" borderId="0" xfId="0" quotePrefix="1" applyNumberFormat="1"/>
    <xf numFmtId="9" fontId="0" fillId="2" borderId="0" xfId="0" applyNumberFormat="1" applyFill="1"/>
    <xf numFmtId="164" fontId="0" fillId="0" borderId="1" xfId="0" quotePrefix="1" applyNumberFormat="1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0" fillId="0" borderId="3" xfId="0" applyBorder="1"/>
    <xf numFmtId="164" fontId="0" fillId="0" borderId="3" xfId="0" applyNumberForma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/>
    <xf numFmtId="0" fontId="2" fillId="0" borderId="6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6" xfId="0" applyBorder="1"/>
    <xf numFmtId="0" fontId="0" fillId="0" borderId="4" xfId="0" applyBorder="1"/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/>
    <xf numFmtId="0" fontId="0" fillId="0" borderId="8" xfId="0" applyBorder="1"/>
    <xf numFmtId="165" fontId="0" fillId="0" borderId="8" xfId="3" applyNumberFormat="1" applyFont="1" applyBorder="1"/>
    <xf numFmtId="0" fontId="0" fillId="0" borderId="10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0" borderId="9" xfId="0" applyBorder="1" applyAlignment="1">
      <alignment wrapText="1"/>
    </xf>
    <xf numFmtId="0" fontId="0" fillId="2" borderId="7" xfId="0" applyFill="1" applyBorder="1" applyAlignment="1">
      <alignment horizontal="center"/>
    </xf>
    <xf numFmtId="43" fontId="0" fillId="0" borderId="3" xfId="1" applyFont="1" applyBorder="1"/>
    <xf numFmtId="43" fontId="0" fillId="0" borderId="5" xfId="1" applyFont="1" applyBorder="1"/>
    <xf numFmtId="43" fontId="0" fillId="0" borderId="7" xfId="1" applyFont="1" applyBorder="1"/>
    <xf numFmtId="164" fontId="0" fillId="3" borderId="7" xfId="0" applyNumberForma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164" fontId="0" fillId="0" borderId="3" xfId="0" applyNumberFormat="1" applyBorder="1"/>
    <xf numFmtId="0" fontId="3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4" fontId="0" fillId="0" borderId="7" xfId="0" applyNumberFormat="1" applyBorder="1"/>
    <xf numFmtId="0" fontId="3" fillId="0" borderId="4" xfId="0" applyFont="1" applyBorder="1"/>
    <xf numFmtId="0" fontId="3" fillId="0" borderId="11" xfId="0" applyFont="1" applyFill="1" applyBorder="1" applyAlignment="1">
      <alignment horizontal="center"/>
    </xf>
    <xf numFmtId="0" fontId="0" fillId="0" borderId="11" xfId="0" applyBorder="1"/>
    <xf numFmtId="0" fontId="0" fillId="0" borderId="8" xfId="0" applyFill="1" applyBorder="1" applyAlignment="1">
      <alignment horizontal="center"/>
    </xf>
    <xf numFmtId="164" fontId="0" fillId="3" borderId="8" xfId="0" applyNumberFormat="1" applyFill="1" applyBorder="1"/>
    <xf numFmtId="164" fontId="0" fillId="0" borderId="2" xfId="0" applyNumberForma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4" fontId="0" fillId="0" borderId="5" xfId="0" applyNumberFormat="1" applyBorder="1"/>
    <xf numFmtId="164" fontId="0" fillId="3" borderId="7" xfId="0" applyNumberFormat="1" applyFill="1" applyBorder="1"/>
    <xf numFmtId="0" fontId="0" fillId="0" borderId="2" xfId="0" applyBorder="1" applyAlignment="1">
      <alignment horizontal="center" wrapText="1"/>
    </xf>
    <xf numFmtId="0" fontId="0" fillId="0" borderId="3" xfId="0" applyNumberFormat="1" applyBorder="1" applyAlignment="1">
      <alignment horizontal="center"/>
    </xf>
    <xf numFmtId="0" fontId="0" fillId="0" borderId="3" xfId="0" applyNumberFormat="1" applyBorder="1" applyAlignment="1">
      <alignment horizontal="center" wrapText="1"/>
    </xf>
    <xf numFmtId="0" fontId="0" fillId="0" borderId="3" xfId="2" applyNumberFormat="1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0" fontId="0" fillId="4" borderId="1" xfId="0" applyFill="1" applyBorder="1"/>
    <xf numFmtId="0" fontId="0" fillId="0" borderId="3" xfId="0" applyBorder="1" applyAlignment="1">
      <alignment horizontal="center" wrapText="1"/>
    </xf>
    <xf numFmtId="0" fontId="0" fillId="4" borderId="8" xfId="0" applyFill="1" applyBorder="1"/>
    <xf numFmtId="164" fontId="0" fillId="4" borderId="7" xfId="0" applyNumberFormat="1" applyFill="1" applyBorder="1"/>
    <xf numFmtId="164" fontId="0" fillId="0" borderId="8" xfId="0" applyNumberFormat="1" applyBorder="1"/>
    <xf numFmtId="9" fontId="0" fillId="0" borderId="0" xfId="0" applyNumberFormat="1" applyFill="1"/>
    <xf numFmtId="0" fontId="0" fillId="0" borderId="0" xfId="0" applyFill="1"/>
    <xf numFmtId="164" fontId="0" fillId="2" borderId="7" xfId="0" applyNumberFormat="1" applyFill="1" applyBorder="1"/>
    <xf numFmtId="0" fontId="0" fillId="2" borderId="0" xfId="0" applyFill="1"/>
    <xf numFmtId="164" fontId="0" fillId="2" borderId="0" xfId="0" applyNumberFormat="1" applyFill="1"/>
    <xf numFmtId="164" fontId="0" fillId="0" borderId="0" xfId="0" applyNumberFormat="1" applyFill="1"/>
    <xf numFmtId="9" fontId="8" fillId="2" borderId="0" xfId="0" applyNumberFormat="1" applyFont="1" applyFill="1"/>
    <xf numFmtId="0" fontId="4" fillId="0" borderId="0" xfId="0" applyFont="1" applyAlignment="1">
      <alignment horizontal="center"/>
    </xf>
    <xf numFmtId="0" fontId="3" fillId="0" borderId="1" xfId="0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449"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 * #,##0.00_ ;_ * \-#,##0.00_ ;_ * &quot;-&quot;??_ ;_ @_ "/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general" vertical="bottom" textRotation="0" wrapText="1" indent="0" justifyLastLine="0" shrinkToFit="0" readingOrder="0"/>
    </dxf>
    <dxf>
      <numFmt numFmtId="13" formatCode="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bottom style="thin">
          <color indexed="64"/>
        </bottom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$-409]* #,##0.00_ ;_-[$$-409]* \-#,##0.00\ ;_-[$$-409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3" formatCode="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AFTER TAX INCREMENTAL CASH FLOW</a:t>
            </a:r>
          </a:p>
        </c:rich>
      </c:tx>
      <c:layout>
        <c:manualLayout>
          <c:xMode val="edge"/>
          <c:yMode val="edge"/>
          <c:x val="0.2059444444444444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('AFTER TAX INCREMENTAL CASH FLOW'!$D$21,'AFTER TAX INCREMENTAL CASH FLOW'!$D$42,'AFTER TAX INCREMENTAL CASH FLOW'!$D$64,'AFTER TAX INCREMENTAL CASH FLOW'!$D$85,'AFTER TAX INCREMENTAL CASH FLOW'!$D$106,'AFTER TAX INCREMENTAL CASH FLOW'!$D$127,'AFTER TAX INCREMENTAL CASH FLOW'!$D$148,'AFTER TAX INCREMENTAL CASH FLOW'!$D$169,'AFTER TAX INCREMENTAL CASH FLOW'!$D$190,'AFTER TAX INCREMENTAL CASH FLOW'!$D$212)</c:f>
              <c:numCache>
                <c:formatCode>_-[$$-409]* #,##0.00_ ;_-[$$-409]* \-#,##0.00\ ;_-[$$-409]* "-"??_ ;_-@_ </c:formatCode>
                <c:ptCount val="10"/>
                <c:pt idx="0">
                  <c:v>7897824000</c:v>
                </c:pt>
                <c:pt idx="1">
                  <c:v>9673121520</c:v>
                </c:pt>
                <c:pt idx="2">
                  <c:v>10516121803.674</c:v>
                </c:pt>
                <c:pt idx="3">
                  <c:v>11435700738.530525</c:v>
                </c:pt>
                <c:pt idx="4">
                  <c:v>11865961227.185843</c:v>
                </c:pt>
                <c:pt idx="5">
                  <c:v>13534248333.566442</c:v>
                </c:pt>
                <c:pt idx="6">
                  <c:v>14729852494.062557</c:v>
                </c:pt>
                <c:pt idx="7">
                  <c:v>16035445075.470222</c:v>
                </c:pt>
                <c:pt idx="8">
                  <c:v>17461475645.106426</c:v>
                </c:pt>
                <c:pt idx="9">
                  <c:v>19199394112.667324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F7-4FA5-8D4C-90194F48F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6799999"/>
        <c:axId val="1156800831"/>
      </c:barChart>
      <c:catAx>
        <c:axId val="11567999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800831"/>
        <c:crosses val="autoZero"/>
        <c:auto val="1"/>
        <c:lblAlgn val="ctr"/>
        <c:lblOffset val="100"/>
        <c:noMultiLvlLbl val="0"/>
      </c:catAx>
      <c:valAx>
        <c:axId val="1156800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799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FE8-4F1B-A009-228C83AB682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FE8-4F1B-A009-228C83AB682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FE8-4F1B-A009-228C83AB682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FE8-4F1B-A009-228C83AB682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FE8-4F1B-A009-228C83AB6828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FLOW'!$C$88:$C$89,'AFTER TAX INCREMENTAL CASH FLOW'!$C$91:$C$93)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FLOW'!$D$88:$D$89,'AFTER TAX INCREMENTAL CASH FLOW'!$D$91:$D$93)</c:f>
              <c:numCache>
                <c:formatCode>_-[$$-409]* #,##0.00_ ;_-[$$-409]* \-#,##0.00\ ;_-[$$-409]* "-"??_ ;_-@_ </c:formatCode>
                <c:ptCount val="5"/>
                <c:pt idx="0">
                  <c:v>10467250255.29114</c:v>
                </c:pt>
                <c:pt idx="1">
                  <c:v>360993348.29292828</c:v>
                </c:pt>
                <c:pt idx="2">
                  <c:v>2089952327.4771428</c:v>
                </c:pt>
                <c:pt idx="3">
                  <c:v>2237677019.2368894</c:v>
                </c:pt>
                <c:pt idx="4">
                  <c:v>207932168.6167267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DA-4C88-AE54-A6C38F6484C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9E4-45E9-B3FE-EDE32C24841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9E4-45E9-B3FE-EDE32C24841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9E4-45E9-B3FE-EDE32C248410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9E4-45E9-B3FE-EDE32C248410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B2C-411A-ABA4-DF71B2D6FAD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FLOW'!$F$88:$F$92</c:f>
              <c:strCache>
                <c:ptCount val="5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SERVER COST </c:v>
                </c:pt>
                <c:pt idx="4">
                  <c:v> DEPRECIATION </c:v>
                </c:pt>
              </c:strCache>
            </c:strRef>
          </c:cat>
          <c:val>
            <c:numRef>
              <c:f>'AFTER TAX INCREMENTAL CASH FLOW'!$G$88:$G$92</c:f>
              <c:numCache>
                <c:formatCode>_-[$$-409]* #,##0.00_ ;_-[$$-409]* \-#,##0.00\ ;_-[$$-409]* "-"??_ ;_-@_ </c:formatCode>
                <c:ptCount val="5"/>
                <c:pt idx="0">
                  <c:v>486202500</c:v>
                </c:pt>
                <c:pt idx="1">
                  <c:v>53240000.000000015</c:v>
                </c:pt>
                <c:pt idx="2">
                  <c:v>874503124.99999976</c:v>
                </c:pt>
                <c:pt idx="3">
                  <c:v>636818130.37499964</c:v>
                </c:pt>
                <c:pt idx="4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E4-41DE-8943-9D96C496641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A97-4649-84DC-EC81ACA187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A97-4649-84DC-EC81ACA187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A97-4649-84DC-EC81ACA187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A97-4649-84DC-EC81ACA1874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A97-4649-84DC-EC81ACA18741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FLOW'!$C$109:$C$110,'AFTER TAX INCREMENTAL CASH FLOW'!$C$112:$C$114)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FLOW'!$D$109:$D$110,'AFTER TAX INCREMENTAL CASH FLOW'!$D$112:$D$114)</c:f>
              <c:numCache>
                <c:formatCode>_-[$$-409]* #,##0.00_ ;_-[$$-409]* \-#,##0.00\ ;_-[$$-409]* "-"??_ ;_-@_ </c:formatCode>
                <c:ptCount val="5"/>
                <c:pt idx="0">
                  <c:v>11392059686.089598</c:v>
                </c:pt>
                <c:pt idx="1">
                  <c:v>395720908.39870793</c:v>
                </c:pt>
                <c:pt idx="2">
                  <c:v>2227366693.0087647</c:v>
                </c:pt>
                <c:pt idx="3">
                  <c:v>2498366391.9779868</c:v>
                </c:pt>
                <c:pt idx="4">
                  <c:v>227935243.23765576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B2-49CB-A620-FF939E761AA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709-43D4-A0F9-A75D0D6F28B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709-43D4-A0F9-A75D0D6F28B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709-43D4-A0F9-A75D0D6F28B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76D-442D-9780-334C7FC0C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FLOW'!$F$109:$F$112</c:f>
              <c:strCache>
                <c:ptCount val="4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DEPRECIATION </c:v>
                </c:pt>
              </c:strCache>
            </c:strRef>
          </c:cat>
          <c:val>
            <c:numRef>
              <c:f>'AFTER TAX INCREMENTAL CASH FLOW'!$G$109:$G$112</c:f>
              <c:numCache>
                <c:formatCode>_-[$$-409]* #,##0.00_ ;_-[$$-409]* \-#,##0.00\ ;_-[$$-409]* "-"??_ ;_-@_ </c:formatCode>
                <c:ptCount val="4"/>
                <c:pt idx="0">
                  <c:v>510512625.00000006</c:v>
                </c:pt>
                <c:pt idx="1">
                  <c:v>58564000.000000015</c:v>
                </c:pt>
                <c:pt idx="2">
                  <c:v>1005678593.7499996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1-4408-964F-FA47080733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30E-4620-B7D6-54D2520ACDD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30E-4620-B7D6-54D2520ACDD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30E-4620-B7D6-54D2520ACDD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30E-4620-B7D6-54D2520ACDD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30E-4620-B7D6-54D2520ACDD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FLOW'!$C$130:$C$131,'AFTER TAX INCREMENTAL CASH FLOW'!$C$133:$C$135)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FLOW'!$D$130:$D$131,'AFTER TAX INCREMENTAL CASH FLOW'!$D$133:$D$135)</c:f>
              <c:numCache>
                <c:formatCode>_-[$$-409]* #,##0.00_ ;_-[$$-409]* \-#,##0.00\ ;_-[$$-409]* "-"??_ ;_-@_ </c:formatCode>
                <c:ptCount val="5"/>
                <c:pt idx="0">
                  <c:v>12405237807.101826</c:v>
                </c:pt>
                <c:pt idx="1">
                  <c:v>433789259.78666365</c:v>
                </c:pt>
                <c:pt idx="2">
                  <c:v>2373816053.07409</c:v>
                </c:pt>
                <c:pt idx="3">
                  <c:v>2789426076.6434216</c:v>
                </c:pt>
                <c:pt idx="4">
                  <c:v>249862613.63711822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8-4C0B-9B9C-9A0CF1BB329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D73-4AFE-A128-7E626374EF1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D73-4AFE-A128-7E626374EF1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D73-4AFE-A128-7E626374EF1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7F9-4D99-9509-350ACAD5B1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FLOW'!$F$130:$F$133</c:f>
              <c:strCache>
                <c:ptCount val="4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DEPRECIATION </c:v>
                </c:pt>
              </c:strCache>
            </c:strRef>
          </c:cat>
          <c:val>
            <c:numRef>
              <c:f>'AFTER TAX INCREMENTAL CASH FLOW'!$G$130:$G$133</c:f>
              <c:numCache>
                <c:formatCode>_-[$$-409]* #,##0.00_ ;_-[$$-409]* \-#,##0.00\ ;_-[$$-409]* "-"??_ ;_-@_ </c:formatCode>
                <c:ptCount val="4"/>
                <c:pt idx="0">
                  <c:v>536038256.25</c:v>
                </c:pt>
                <c:pt idx="1">
                  <c:v>64420400.000000022</c:v>
                </c:pt>
                <c:pt idx="2">
                  <c:v>1156530382.8124995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E-48C2-8450-83CD7C78C34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746-4EBE-B765-B5220081D20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746-4EBE-B765-B5220081D20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746-4EBE-B765-B5220081D20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746-4EBE-B765-B5220081D20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746-4EBE-B765-B5220081D205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FLOW'!$C$151:$C$152,'AFTER TAX INCREMENTAL CASH FLOW'!$C$154:$C$156)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FLOW'!$D$151:$D$152,'AFTER TAX INCREMENTAL CASH FLOW'!$D$154:$D$156)</c:f>
              <c:numCache>
                <c:formatCode>_-[$$-409]* #,##0.00_ ;_-[$$-409]* \-#,##0.00\ ;_-[$$-409]* "-"??_ ;_-@_ </c:formatCode>
                <c:ptCount val="5"/>
                <c:pt idx="0">
                  <c:v>13515805887.480549</c:v>
                </c:pt>
                <c:pt idx="1">
                  <c:v>475519786.57814062</c:v>
                </c:pt>
                <c:pt idx="2">
                  <c:v>2529894458.5637121</c:v>
                </c:pt>
                <c:pt idx="3">
                  <c:v>3114394214.572381</c:v>
                </c:pt>
                <c:pt idx="4">
                  <c:v>273899397.06900901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2F-4940-80B2-AF87E564946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723-46D5-82D6-F58CF75DA22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723-46D5-82D6-F58CF75DA22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723-46D5-82D6-F58CF75DA22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FFC-4860-BB2F-1C87C67809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FLOW'!$F$151:$F$154</c:f>
              <c:strCache>
                <c:ptCount val="4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DEPRECIATION </c:v>
                </c:pt>
              </c:strCache>
            </c:strRef>
          </c:cat>
          <c:val>
            <c:numRef>
              <c:f>'AFTER TAX INCREMENTAL CASH FLOW'!$G$151:$G$154</c:f>
              <c:numCache>
                <c:formatCode>_-[$$-409]* #,##0.00_ ;_-[$$-409]* \-#,##0.00\ ;_-[$$-409]* "-"??_ ;_-@_ </c:formatCode>
                <c:ptCount val="4"/>
                <c:pt idx="0">
                  <c:v>562840169.06250012</c:v>
                </c:pt>
                <c:pt idx="1">
                  <c:v>70862440.00000003</c:v>
                </c:pt>
                <c:pt idx="2">
                  <c:v>1330009940.234374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2-4493-BC09-0EDF1914F40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C2-42AB-AC9A-32E8D7B9A2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C2-42AB-AC9A-32E8D7B9A2A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C2-42AB-AC9A-32E8D7B9A2A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C2-42AB-AC9A-32E8D7B9A2A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C2-42AB-AC9A-32E8D7B9A2A8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FLOW'!$C$172:$C$173,'AFTER TAX INCREMENTAL CASH FLOW'!$C$175:$C$177)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FLOW'!$D$172:$D$173,'AFTER TAX INCREMENTAL CASH FLOW'!$D$175:$D$177)</c:f>
              <c:numCache>
                <c:formatCode>_-[$$-409]* #,##0.00_ ;_-[$$-409]* \-#,##0.00\ ;_-[$$-409]* "-"??_ ;_-@_ </c:formatCode>
                <c:ptCount val="5"/>
                <c:pt idx="0">
                  <c:v>14733752429.560617</c:v>
                </c:pt>
                <c:pt idx="1">
                  <c:v>521264790.04695773</c:v>
                </c:pt>
                <c:pt idx="2">
                  <c:v>2696235019.2142754</c:v>
                </c:pt>
                <c:pt idx="3">
                  <c:v>3477221140.5700626</c:v>
                </c:pt>
                <c:pt idx="4">
                  <c:v>300248519.06704766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8-4894-8743-2AA161831CC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954-47EB-924D-941410FCF8A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954-47EB-924D-941410FCF8A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954-47EB-924D-941410FCF8A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CC9-47BF-A442-672AC74D1B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FLOW'!$F$172:$F$175</c:f>
              <c:strCache>
                <c:ptCount val="4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DEPRECIATION </c:v>
                </c:pt>
              </c:strCache>
            </c:strRef>
          </c:cat>
          <c:val>
            <c:numRef>
              <c:f>'AFTER TAX INCREMENTAL CASH FLOW'!$G$172:$G$175</c:f>
              <c:numCache>
                <c:formatCode>_-[$$-409]* #,##0.00_ ;_-[$$-409]* \-#,##0.00\ ;_-[$$-409]* "-"??_ ;_-@_ </c:formatCode>
                <c:ptCount val="4"/>
                <c:pt idx="0">
                  <c:v>590982177.515625</c:v>
                </c:pt>
                <c:pt idx="1">
                  <c:v>77948684.000000045</c:v>
                </c:pt>
                <c:pt idx="2">
                  <c:v>1529511431.2695301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7F-488B-A2A7-406AD4280E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575-4FE2-B9B0-30E4FA2350C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575-4FE2-B9B0-30E4FA2350C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575-4FE2-B9B0-30E4FA2350C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575-4FE2-B9B0-30E4FA2350C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575-4FE2-B9B0-30E4FA2350C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FLOW'!$C$4:$C$5,'AFTER TAX INCREMENTAL CASH FLOW'!$C$7:$C$9)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FLOW'!$D$4:$D$5,'AFTER TAX INCREMENTAL CASH FLOW'!$D$7:$D$9)</c:f>
              <c:numCache>
                <c:formatCode>_-[$$-409]* #,##0.00_ ;_-[$$-409]* \-#,##0.00\ ;_-[$$-409]* "-"??_ ;_-@_ </c:formatCode>
                <c:ptCount val="5"/>
                <c:pt idx="0">
                  <c:v>7500000000</c:v>
                </c:pt>
                <c:pt idx="1">
                  <c:v>250000000</c:v>
                </c:pt>
                <c:pt idx="2">
                  <c:v>1620000000</c:v>
                </c:pt>
                <c:pt idx="3">
                  <c:v>1440000000</c:v>
                </c:pt>
                <c:pt idx="4">
                  <c:v>144000000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1-4463-AF3C-0AB15FCB42E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D-4325-B829-8B9F036CCA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D-4325-B829-8B9F036CCA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D-4325-B829-8B9F036CCA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D-4325-B829-8B9F036CCA4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D-4325-B829-8B9F036CCA4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542-45B0-8428-B0FA27E8AB98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FLOW'!$C$194:$C$195,'AFTER TAX INCREMENTAL CASH FLOW'!$C$197:$C$200)</c:f>
              <c:strCache>
                <c:ptCount val="6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  <c:pt idx="5">
                  <c:v>SALVAGE VALUE</c:v>
                </c:pt>
              </c:strCache>
            </c:strRef>
          </c:cat>
          <c:val>
            <c:numRef>
              <c:f>('AFTER TAX INCREMENTAL CASH FLOW'!$D$194:$D$195,'AFTER TAX INCREMENTAL CASH FLOW'!$D$197:$D$200)</c:f>
              <c:numCache>
                <c:formatCode>_-[$$-409]* #,##0.00_ ;_-[$$-409]* \-#,##0.00\ ;_-[$$-409]* "-"??_ ;_-@_ </c:formatCode>
                <c:ptCount val="6"/>
                <c:pt idx="0">
                  <c:v>16070140345.312418</c:v>
                </c:pt>
                <c:pt idx="1">
                  <c:v>571410462.84947491</c:v>
                </c:pt>
                <c:pt idx="2">
                  <c:v>2873512471.7276139</c:v>
                </c:pt>
                <c:pt idx="3">
                  <c:v>3882317403.446475</c:v>
                </c:pt>
                <c:pt idx="4">
                  <c:v>329132426.60129756</c:v>
                </c:pt>
                <c:pt idx="5">
                  <c:v>200000000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7-43BF-A706-57B3242BFF6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9CA-4E4C-999F-B5C6A43BC62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9CA-4E4C-999F-B5C6A43BC62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9CA-4E4C-999F-B5C6A43BC62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F5A-42E6-A170-F63874CF6C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FLOW'!$F$193:$F$196</c:f>
              <c:strCache>
                <c:ptCount val="4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DEPRECIATION </c:v>
                </c:pt>
              </c:strCache>
            </c:strRef>
          </c:cat>
          <c:val>
            <c:numRef>
              <c:f>'AFTER TAX INCREMENTAL CASH FLOW'!$G$193:$G$196</c:f>
              <c:numCache>
                <c:formatCode>_-[$$-409]* #,##0.00_ ;_-[$$-409]* \-#,##0.00\ ;_-[$$-409]* "-"??_ ;_-@_ </c:formatCode>
                <c:ptCount val="4"/>
                <c:pt idx="0">
                  <c:v>620531286.3914063</c:v>
                </c:pt>
                <c:pt idx="1">
                  <c:v>85743552.400000051</c:v>
                </c:pt>
                <c:pt idx="2">
                  <c:v>1758938145.9599595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64-46F8-B1D4-73C192A7F3D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3DC-4B0B-92E9-9247F232A70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3DC-4B0B-92E9-9247F232A70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3DC-4B0B-92E9-9247F232A70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3DC-4B0B-92E9-9247F232A70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A3C-42D3-A79B-D5E28867C1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FLOW'!$F$4:$F$8</c:f>
              <c:strCache>
                <c:ptCount val="5"/>
                <c:pt idx="0">
                  <c:v>R&amp;D</c:v>
                </c:pt>
                <c:pt idx="1">
                  <c:v>INFRA</c:v>
                </c:pt>
                <c:pt idx="2">
                  <c:v>G&amp;A</c:v>
                </c:pt>
                <c:pt idx="3">
                  <c:v>ADVERTISING</c:v>
                </c:pt>
                <c:pt idx="4">
                  <c:v>DEPRECIATION</c:v>
                </c:pt>
              </c:strCache>
            </c:strRef>
          </c:cat>
          <c:val>
            <c:numRef>
              <c:f>'AFTER TAX INCREMENTAL CASH FLOW'!$G$4:$G$8</c:f>
              <c:numCache>
                <c:formatCode>_-[$$-409]* #,##0.00_ ;_-[$$-409]* \-#,##0.00\ ;_-[$$-409]* "-"??_ ;_-@_ </c:formatCode>
                <c:ptCount val="5"/>
                <c:pt idx="0">
                  <c:v>150000000</c:v>
                </c:pt>
                <c:pt idx="1">
                  <c:v>1000000000</c:v>
                </c:pt>
                <c:pt idx="2">
                  <c:v>400000000</c:v>
                </c:pt>
                <c:pt idx="3">
                  <c:v>500000000</c:v>
                </c:pt>
                <c:pt idx="4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F6-4B20-B39A-763DEEE246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layout>
        <c:manualLayout>
          <c:xMode val="edge"/>
          <c:yMode val="edge"/>
          <c:x val="0.2578362798989749"/>
          <c:y val="3.7854870784236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B32-42CE-B01D-0BBFC384B35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B32-42CE-B01D-0BBFC384B3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B32-42CE-B01D-0BBFC384B3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B32-42CE-B01D-0BBFC384B35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B32-42CE-B01D-0BBFC384B353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FLOW'!$C$25:$C$26,'AFTER TAX INCREMENTAL CASH FLOW'!$C$28:$C$30)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FLOW'!$D$25:$D$26,'AFTER TAX INCREMENTAL CASH FLOW'!$D$28:$D$30)</c:f>
              <c:numCache>
                <c:formatCode>_-[$$-409]* #,##0.00_ ;_-[$$-409]* \-#,##0.00\ ;_-[$$-409]* "-"??_ ;_-@_ </c:formatCode>
                <c:ptCount val="5"/>
                <c:pt idx="0">
                  <c:v>8145374999.999999</c:v>
                </c:pt>
                <c:pt idx="1">
                  <c:v>274049999.99999994</c:v>
                </c:pt>
                <c:pt idx="2">
                  <c:v>1726515000</c:v>
                </c:pt>
                <c:pt idx="3">
                  <c:v>1607760000.0000002</c:v>
                </c:pt>
                <c:pt idx="4">
                  <c:v>157852800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55-4C63-BE11-760781ACCEFB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8E6-44DD-8F6B-63AF3691E07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8E6-44DD-8F6B-63AF3691E07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8E6-44DD-8F6B-63AF3691E07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342-46B1-B270-70C098B410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FLOW'!$F$25:$F$28</c:f>
              <c:strCache>
                <c:ptCount val="4"/>
                <c:pt idx="0">
                  <c:v>G&amp;A</c:v>
                </c:pt>
                <c:pt idx="1">
                  <c:v>ADDITIONAL G&amp;A</c:v>
                </c:pt>
                <c:pt idx="2">
                  <c:v>ADVERTISING</c:v>
                </c:pt>
                <c:pt idx="3">
                  <c:v>DEPRECIATION</c:v>
                </c:pt>
              </c:strCache>
            </c:strRef>
          </c:cat>
          <c:val>
            <c:numRef>
              <c:f>'AFTER TAX INCREMENTAL CASH FLOW'!$G$25:$G$28</c:f>
              <c:numCache>
                <c:formatCode>_-[$$-409]* #,##0.00_ ;_-[$$-409]* \-#,##0.00\ ;_-[$$-409]* "-"??_ ;_-@_ </c:formatCode>
                <c:ptCount val="4"/>
                <c:pt idx="0">
                  <c:v>420000000</c:v>
                </c:pt>
                <c:pt idx="1">
                  <c:v>40000000</c:v>
                </c:pt>
                <c:pt idx="2">
                  <c:v>575000000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6-49D6-89F0-8641C34E201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F27-4A04-A305-AECACDB13F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F27-4A04-A305-AECACDB13F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F27-4A04-A305-AECACDB13F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F27-4A04-A305-AECACDB13F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F27-4A04-A305-AECACDB13F37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FLOW'!$C$46:$C$47,'AFTER TAX INCREMENTAL CASH FLOW'!$C$49:$C$51)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FLOW'!$D$46:$D$47,'AFTER TAX INCREMENTAL CASH FLOW'!$D$49:$D$51)</c:f>
              <c:numCache>
                <c:formatCode>_-[$$-409]* #,##0.00_ ;_-[$$-409]* \-#,##0.00\ ;_-[$$-409]* "-"??_ ;_-@_ </c:formatCode>
                <c:ptCount val="5"/>
                <c:pt idx="0">
                  <c:v>8850920531.2499981</c:v>
                </c:pt>
                <c:pt idx="1">
                  <c:v>300413610</c:v>
                </c:pt>
                <c:pt idx="2">
                  <c:v>1840033361.2499995</c:v>
                </c:pt>
                <c:pt idx="3">
                  <c:v>1795064040</c:v>
                </c:pt>
                <c:pt idx="4">
                  <c:v>173038239.35999998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31-4EBA-9ECE-86D3D64B02B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D17-4313-8D01-1FB57A835EE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D17-4313-8D01-1FB57A835EE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D17-4313-8D01-1FB57A835EE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AB3-4982-A15B-94AC24EFAC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FLOW'!$F$46:$F$49</c:f>
              <c:strCache>
                <c:ptCount val="4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DEPRECIATION </c:v>
                </c:pt>
              </c:strCache>
            </c:strRef>
          </c:cat>
          <c:val>
            <c:numRef>
              <c:f>'AFTER TAX INCREMENTAL CASH FLOW'!$G$46:$G$49</c:f>
              <c:numCache>
                <c:formatCode>_-[$$-409]* #,##0.00_ ;_-[$$-409]* \-#,##0.00\ ;_-[$$-409]* "-"??_ ;_-@_ </c:formatCode>
                <c:ptCount val="4"/>
                <c:pt idx="0">
                  <c:v>441000000</c:v>
                </c:pt>
                <c:pt idx="1">
                  <c:v>44000000</c:v>
                </c:pt>
                <c:pt idx="2">
                  <c:v>661249999.99999988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C-4161-B735-24636A0B2A7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 REVENUE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163-4485-9E2D-696D58425E9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163-4485-9E2D-696D58425E9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163-4485-9E2D-696D58425E9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163-4485-9E2D-696D58425E9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163-4485-9E2D-696D58425E9B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('AFTER TAX INCREMENTAL CASH FLOW'!$C$67:$C$68,'AFTER TAX INCREMENTAL CASH FLOW'!$C$70:$C$72)</c:f>
              <c:strCache>
                <c:ptCount val="5"/>
                <c:pt idx="0">
                  <c:v>EXCHANGE CHARGES</c:v>
                </c:pt>
                <c:pt idx="1">
                  <c:v>EXCHANGE CHARGES TO NEW PARTICIPANTS</c:v>
                </c:pt>
                <c:pt idx="2">
                  <c:v>US&amp;RUSSIA PARTICIPANTS</c:v>
                </c:pt>
                <c:pt idx="3">
                  <c:v>INTERNATIONAL PARTICIPANTS</c:v>
                </c:pt>
                <c:pt idx="4">
                  <c:v>NEW PARTICIPANTS</c:v>
                </c:pt>
              </c:strCache>
            </c:strRef>
          </c:cat>
          <c:val>
            <c:numRef>
              <c:f>('AFTER TAX INCREMENTAL CASH FLOW'!$D$67:$D$68,'AFTER TAX INCREMENTAL CASH FLOW'!$D$70:$D$72)</c:f>
              <c:numCache>
                <c:formatCode>_-[$$-409]* #,##0.00_ ;_-[$$-409]* \-#,##0.00\ ;_-[$$-409]* "-"??_ ;_-@_ </c:formatCode>
                <c:ptCount val="5"/>
                <c:pt idx="0">
                  <c:v>9622659181.2421875</c:v>
                </c:pt>
                <c:pt idx="1">
                  <c:v>329313399.28199995</c:v>
                </c:pt>
                <c:pt idx="2">
                  <c:v>1961015554.752187</c:v>
                </c:pt>
                <c:pt idx="3">
                  <c:v>2004189000.6600001</c:v>
                </c:pt>
                <c:pt idx="4">
                  <c:v>189684517.98643196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A9-4BF8-B87F-CE63B61D9C2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N"/>
              <a:t>TOTAL EXPENSES DISTRIBUTION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669-4C20-AEE4-CC5E254D407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669-4C20-AEE4-CC5E254D407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669-4C20-AEE4-CC5E254D407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7F1-4212-860D-092FD19808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'AFTER TAX INCREMENTAL CASH FLOW'!$F$67:$F$70</c:f>
              <c:strCache>
                <c:ptCount val="4"/>
                <c:pt idx="0">
                  <c:v> G&amp;A </c:v>
                </c:pt>
                <c:pt idx="1">
                  <c:v> ADDITIONAL G&amp;A </c:v>
                </c:pt>
                <c:pt idx="2">
                  <c:v> ADVERTISING </c:v>
                </c:pt>
                <c:pt idx="3">
                  <c:v> DEPRECIATION </c:v>
                </c:pt>
              </c:strCache>
            </c:strRef>
          </c:cat>
          <c:val>
            <c:numRef>
              <c:f>'AFTER TAX INCREMENTAL CASH FLOW'!$G$67:$G$70</c:f>
              <c:numCache>
                <c:formatCode>_-[$$-409]* #,##0.00_ ;_-[$$-409]* \-#,##0.00\ ;_-[$$-409]* "-"??_ ;_-@_ </c:formatCode>
                <c:ptCount val="4"/>
                <c:pt idx="0">
                  <c:v>463050000.00000006</c:v>
                </c:pt>
                <c:pt idx="1">
                  <c:v>48400000.000000007</c:v>
                </c:pt>
                <c:pt idx="2">
                  <c:v>760437499.99999976</c:v>
                </c:pt>
                <c:pt idx="3">
                  <c:v>80000000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8-4E1B-BE96-104E974ABBF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15874</xdr:colOff>
      <xdr:row>212</xdr:row>
      <xdr:rowOff>6350</xdr:rowOff>
    </xdr:from>
    <xdr:to>
      <xdr:col>10</xdr:col>
      <xdr:colOff>1257300</xdr:colOff>
      <xdr:row>230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D34C41-E535-4638-9F6C-2EF848F602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593725</xdr:colOff>
      <xdr:row>10</xdr:row>
      <xdr:rowOff>177799</xdr:rowOff>
    </xdr:from>
    <xdr:to>
      <xdr:col>6</xdr:col>
      <xdr:colOff>1377950</xdr:colOff>
      <xdr:row>22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12C4361-5461-4355-8F61-4ABA4DAF18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1387475</xdr:colOff>
      <xdr:row>11</xdr:row>
      <xdr:rowOff>0</xdr:rowOff>
    </xdr:from>
    <xdr:to>
      <xdr:col>9</xdr:col>
      <xdr:colOff>76200</xdr:colOff>
      <xdr:row>22</xdr:row>
      <xdr:rowOff>38100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ED8D215-2E96-42D6-8D99-90A217DE3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606425</xdr:colOff>
      <xdr:row>31</xdr:row>
      <xdr:rowOff>184149</xdr:rowOff>
    </xdr:from>
    <xdr:to>
      <xdr:col>6</xdr:col>
      <xdr:colOff>1384300</xdr:colOff>
      <xdr:row>42</xdr:row>
      <xdr:rowOff>171450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62D85D2-EB30-4885-B08B-A41C28B418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31</xdr:row>
      <xdr:rowOff>177801</xdr:rowOff>
    </xdr:from>
    <xdr:to>
      <xdr:col>10</xdr:col>
      <xdr:colOff>6350</xdr:colOff>
      <xdr:row>43</xdr:row>
      <xdr:rowOff>6351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43C7BB7-F010-461F-9C29-215CB77061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15875</xdr:colOff>
      <xdr:row>53</xdr:row>
      <xdr:rowOff>6349</xdr:rowOff>
    </xdr:from>
    <xdr:to>
      <xdr:col>6</xdr:col>
      <xdr:colOff>1358900</xdr:colOff>
      <xdr:row>64</xdr:row>
      <xdr:rowOff>6350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3254F20C-CF98-4824-B4FE-C9E0855161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1374775</xdr:colOff>
      <xdr:row>53</xdr:row>
      <xdr:rowOff>6349</xdr:rowOff>
    </xdr:from>
    <xdr:to>
      <xdr:col>10</xdr:col>
      <xdr:colOff>12700</xdr:colOff>
      <xdr:row>64</xdr:row>
      <xdr:rowOff>19050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5F5139A0-7E59-4892-B650-1128117D2C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6350</xdr:colOff>
      <xdr:row>74</xdr:row>
      <xdr:rowOff>6349</xdr:rowOff>
    </xdr:from>
    <xdr:to>
      <xdr:col>6</xdr:col>
      <xdr:colOff>1377950</xdr:colOff>
      <xdr:row>85</xdr:row>
      <xdr:rowOff>63500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A1A9F87D-52B7-4DCC-AB3E-9F8A68A75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3175</xdr:colOff>
      <xdr:row>74</xdr:row>
      <xdr:rowOff>19049</xdr:rowOff>
    </xdr:from>
    <xdr:to>
      <xdr:col>10</xdr:col>
      <xdr:colOff>95250</xdr:colOff>
      <xdr:row>85</xdr:row>
      <xdr:rowOff>38100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287EBD6-041C-4F39-9974-D9EF4D515C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574675</xdr:colOff>
      <xdr:row>94</xdr:row>
      <xdr:rowOff>184149</xdr:rowOff>
    </xdr:from>
    <xdr:to>
      <xdr:col>7</xdr:col>
      <xdr:colOff>12700</xdr:colOff>
      <xdr:row>106</xdr:row>
      <xdr:rowOff>12700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4CB7A8E6-0711-4202-B54B-A2E9724BD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22225</xdr:colOff>
      <xdr:row>94</xdr:row>
      <xdr:rowOff>184149</xdr:rowOff>
    </xdr:from>
    <xdr:to>
      <xdr:col>9</xdr:col>
      <xdr:colOff>596900</xdr:colOff>
      <xdr:row>106</xdr:row>
      <xdr:rowOff>50800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C5B2D9C-82FD-49A6-AF27-139E9990C4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593725</xdr:colOff>
      <xdr:row>116</xdr:row>
      <xdr:rowOff>12699</xdr:rowOff>
    </xdr:from>
    <xdr:to>
      <xdr:col>7</xdr:col>
      <xdr:colOff>6350</xdr:colOff>
      <xdr:row>126</xdr:row>
      <xdr:rowOff>171450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DA8583C9-1D1F-41A0-9A47-8C017B680C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1362075</xdr:colOff>
      <xdr:row>115</xdr:row>
      <xdr:rowOff>158751</xdr:rowOff>
    </xdr:from>
    <xdr:to>
      <xdr:col>9</xdr:col>
      <xdr:colOff>0</xdr:colOff>
      <xdr:row>127</xdr:row>
      <xdr:rowOff>6351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482323D-1E47-4C54-9E30-F3B31CE298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606425</xdr:colOff>
      <xdr:row>137</xdr:row>
      <xdr:rowOff>6349</xdr:rowOff>
    </xdr:from>
    <xdr:to>
      <xdr:col>7</xdr:col>
      <xdr:colOff>6350</xdr:colOff>
      <xdr:row>148</xdr:row>
      <xdr:rowOff>6350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AD95AC30-106C-4A98-8006-1F098EA5AD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1387475</xdr:colOff>
      <xdr:row>137</xdr:row>
      <xdr:rowOff>6349</xdr:rowOff>
    </xdr:from>
    <xdr:to>
      <xdr:col>8</xdr:col>
      <xdr:colOff>1346200</xdr:colOff>
      <xdr:row>148</xdr:row>
      <xdr:rowOff>19050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8E3EC094-C1B3-415C-9544-18F861A223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593725</xdr:colOff>
      <xdr:row>158</xdr:row>
      <xdr:rowOff>12699</xdr:rowOff>
    </xdr:from>
    <xdr:to>
      <xdr:col>7</xdr:col>
      <xdr:colOff>88900</xdr:colOff>
      <xdr:row>169</xdr:row>
      <xdr:rowOff>6350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7BBBE6FD-888F-4006-918E-BFFA071E5A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1387475</xdr:colOff>
      <xdr:row>158</xdr:row>
      <xdr:rowOff>6349</xdr:rowOff>
    </xdr:from>
    <xdr:to>
      <xdr:col>9</xdr:col>
      <xdr:colOff>19050</xdr:colOff>
      <xdr:row>169</xdr:row>
      <xdr:rowOff>6350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10C10B1F-B9A5-4B1F-9CB4-2F20D2481E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28575</xdr:colOff>
      <xdr:row>179</xdr:row>
      <xdr:rowOff>6349</xdr:rowOff>
    </xdr:from>
    <xdr:to>
      <xdr:col>7</xdr:col>
      <xdr:colOff>12700</xdr:colOff>
      <xdr:row>190</xdr:row>
      <xdr:rowOff>19050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EF063010-030D-4E07-BE7B-222552D454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7</xdr:col>
      <xdr:colOff>9525</xdr:colOff>
      <xdr:row>178</xdr:row>
      <xdr:rowOff>165099</xdr:rowOff>
    </xdr:from>
    <xdr:to>
      <xdr:col>9</xdr:col>
      <xdr:colOff>0</xdr:colOff>
      <xdr:row>190</xdr:row>
      <xdr:rowOff>38100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CB0434B4-AD73-4CF2-ADE1-8FA4A2F7F4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9525</xdr:colOff>
      <xdr:row>200</xdr:row>
      <xdr:rowOff>184149</xdr:rowOff>
    </xdr:from>
    <xdr:to>
      <xdr:col>7</xdr:col>
      <xdr:colOff>44450</xdr:colOff>
      <xdr:row>211</xdr:row>
      <xdr:rowOff>6350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964CF264-4CF6-4AE8-AB2F-24A6B7F001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22225</xdr:colOff>
      <xdr:row>200</xdr:row>
      <xdr:rowOff>171451</xdr:rowOff>
    </xdr:from>
    <xdr:to>
      <xdr:col>9</xdr:col>
      <xdr:colOff>25400</xdr:colOff>
      <xdr:row>210</xdr:row>
      <xdr:rowOff>152401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941914C-EBAB-4A1E-AAC6-D620C807FD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E489C17D-81D0-4477-8C6C-CA636CF17F55}" name="Table51" displayName="Table51" ref="B2:C35" totalsRowShown="0" headerRowDxfId="448" headerRowBorderDxfId="447" tableBorderDxfId="446" totalsRowBorderDxfId="445">
  <autoFilter ref="B2:C35" xr:uid="{E489C17D-81D0-4477-8C6C-CA636CF17F55}">
    <filterColumn colId="0" hiddenButton="1"/>
    <filterColumn colId="1" hiddenButton="1"/>
  </autoFilter>
  <tableColumns count="2">
    <tableColumn id="1" xr3:uid="{E38C53EB-2153-4B1B-969B-91FD925340F4}" name="PARTICULARS" dataDxfId="444"/>
    <tableColumn id="2" xr3:uid="{82B32AE5-D541-40B2-BD2A-F670701BBC65}" name="Column1" dataDxfId="443"/>
  </tableColumns>
  <tableStyleInfo name="TableStyleLight7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B81FED8-4BB2-4079-B263-96C0FE499D06}" name="Table7" displayName="Table7" ref="K24:L32" totalsRowShown="0" headerRowBorderDxfId="396" tableBorderDxfId="395" totalsRowBorderDxfId="394">
  <autoFilter ref="K24:L32" xr:uid="{3B81FED8-4BB2-4079-B263-96C0FE499D06}">
    <filterColumn colId="0" hiddenButton="1"/>
    <filterColumn colId="1" hiddenButton="1"/>
  </autoFilter>
  <tableColumns count="2">
    <tableColumn id="1" xr3:uid="{FABC8154-9FAB-4B70-96C2-1376BE80DE84}" name="US&amp;RUSSIA PARTICIPANTS" dataDxfId="393"/>
    <tableColumn id="2" xr3:uid="{6A7DA629-556A-4A77-915B-CE05A901EB8B}" name=" 4,72,50,000.00 " dataDxfId="392" dataCellStyle="Comma"/>
  </tableColumns>
  <tableStyleInfo name="TableStyleLight6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F0288DE-EFBF-412A-9C09-4E6B42983464}" name="Table8" displayName="Table8" ref="K46:L54" headerRowCount="0" totalsRowShown="0" headerRowBorderDxfId="391" tableBorderDxfId="390" totalsRowBorderDxfId="389">
  <tableColumns count="2">
    <tableColumn id="1" xr3:uid="{1E7D1EC9-3CA1-4FF5-8826-F41B36AC977D}" name="Column1" headerRowDxfId="388" dataDxfId="387"/>
    <tableColumn id="2" xr3:uid="{65DF4E08-5D2A-4170-B46A-88735CE14043}" name="Column2" headerRowDxfId="386" dataDxfId="385" headerRowCellStyle="Comma" dataCellStyle="Comma"/>
  </tableColumns>
  <tableStyleInfo name="TableStyleLight6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A944734-0717-4B84-831B-DB21C5D0E0F8}" name="Table9" displayName="Table9" ref="K67:L75" headerRowCount="0" totalsRowShown="0" headerRowBorderDxfId="384" tableBorderDxfId="383" totalsRowBorderDxfId="382">
  <tableColumns count="2">
    <tableColumn id="1" xr3:uid="{C51622B3-DDC9-40C9-B91D-55C725195223}" name="Column1" headerRowDxfId="381" dataDxfId="380"/>
    <tableColumn id="2" xr3:uid="{8BECE65D-14CA-41C9-B7C9-BD7F68EA7A43}" name="Column2" headerRowDxfId="379" dataDxfId="378" headerRowCellStyle="Comma" dataCellStyle="Comma"/>
  </tableColumns>
  <tableStyleInfo name="TableStyleLight6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6C9DAD7-122B-4031-913E-42F5530E8A65}" name="Table10" displayName="Table10" ref="K88:L96" headerRowCount="0" totalsRowShown="0" headerRowBorderDxfId="377" tableBorderDxfId="376" totalsRowBorderDxfId="375">
  <tableColumns count="2">
    <tableColumn id="1" xr3:uid="{5468500E-CA3F-4C13-9924-2221DCC5E2EC}" name="Column1" headerRowDxfId="374" dataDxfId="373"/>
    <tableColumn id="2" xr3:uid="{22A08D5E-7FF6-4A7F-89D6-C3E247A8490C}" name="Column2" headerRowDxfId="372" dataDxfId="371" headerRowCellStyle="Comma" dataCellStyle="Comma"/>
  </tableColumns>
  <tableStyleInfo name="TableStyleLight6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E13E2F11-24B3-43B7-A0F8-8545C7C5E199}" name="Table11" displayName="Table11" ref="K109:L117" headerRowCount="0" totalsRowShown="0" headerRowBorderDxfId="370" tableBorderDxfId="369" totalsRowBorderDxfId="368">
  <tableColumns count="2">
    <tableColumn id="1" xr3:uid="{E03FA595-5F05-447B-BE0E-54731F219649}" name="Column1" headerRowDxfId="367" dataDxfId="366"/>
    <tableColumn id="2" xr3:uid="{095CAEB4-84AC-4223-95FB-ED724FEC0167}" name="Column2" headerRowDxfId="365" dataDxfId="364" headerRowCellStyle="Comma" dataCellStyle="Comma"/>
  </tableColumns>
  <tableStyleInfo name="TableStyleLight6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76BE4B-9BAB-49E7-B354-60840B8C7CF6}" name="Table12" displayName="Table12" ref="K130:L138" headerRowCount="0" totalsRowShown="0" headerRowBorderDxfId="363" tableBorderDxfId="362" totalsRowBorderDxfId="361">
  <tableColumns count="2">
    <tableColumn id="1" xr3:uid="{B8036AB1-93F7-40E0-9E87-0346FD510E62}" name="Column1" headerRowDxfId="360" dataDxfId="359"/>
    <tableColumn id="2" xr3:uid="{0E9A7CC9-7A0D-49EF-BEF8-F2D9C970FB5E}" name="Column2" headerRowDxfId="358" dataDxfId="357" headerRowCellStyle="Comma" dataCellStyle="Comma"/>
  </tableColumns>
  <tableStyleInfo name="TableStyleLight6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B0F0ABA-305A-4542-8224-049561DBE48D}" name="Table13" displayName="Table13" ref="K172:L180" headerRowCount="0" totalsRowShown="0" headerRowBorderDxfId="356" tableBorderDxfId="355" totalsRowBorderDxfId="354">
  <tableColumns count="2">
    <tableColumn id="1" xr3:uid="{4F18734F-366E-4FCF-9348-8240CDB5A2AF}" name="Column1" headerRowDxfId="353" dataDxfId="352"/>
    <tableColumn id="2" xr3:uid="{8BFE762B-E8E0-4584-BFC6-1AF451D0FADC}" name="Column2" headerRowDxfId="351" dataDxfId="350" headerRowCellStyle="Comma" dataCellStyle="Comma"/>
  </tableColumns>
  <tableStyleInfo name="TableStyleLight6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D895A9A5-9CF8-43DA-868C-83269AEF79E0}" name="Table14" displayName="Table14" ref="K151:L159" headerRowCount="0" totalsRowShown="0" headerRowBorderDxfId="349" tableBorderDxfId="348" totalsRowBorderDxfId="347">
  <tableColumns count="2">
    <tableColumn id="1" xr3:uid="{B277A459-3036-454F-871B-8F32F0D9F4D8}" name="Column1" headerRowDxfId="346" dataDxfId="345"/>
    <tableColumn id="2" xr3:uid="{FB7CAE23-17B1-40D1-86B2-0444F281BAA1}" name="Column2" headerRowDxfId="344" dataDxfId="343" headerRowCellStyle="Comma" dataCellStyle="Comma"/>
  </tableColumns>
  <tableStyleInfo name="TableStyleLight6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823A88D-D021-4269-9535-7C11D06A9BCE}" name="Table15" displayName="Table15" ref="K193:L201" headerRowCount="0" totalsRowShown="0" headerRowBorderDxfId="342" tableBorderDxfId="341" totalsRowBorderDxfId="340">
  <tableColumns count="2">
    <tableColumn id="1" xr3:uid="{D0460926-BF98-4B6A-919F-739F21ABC74E}" name="Column1" headerRowDxfId="339" dataDxfId="338"/>
    <tableColumn id="2" xr3:uid="{F8D69CC7-FC14-41ED-8024-44FAB1739984}" name="Column2" headerRowDxfId="337" dataDxfId="336" headerRowCellStyle="Comma" dataCellStyle="Comma"/>
  </tableColumns>
  <tableStyleInfo name="TableStyleLight6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5DABCEE5-3D51-4E76-BA19-1D33AD5AA567}" name="Table16" displayName="Table16" ref="C24:D31" totalsRowShown="0" headerRowDxfId="335" headerRowBorderDxfId="334" tableBorderDxfId="333" totalsRowBorderDxfId="332">
  <autoFilter ref="C24:D31" xr:uid="{5DABCEE5-3D51-4E76-BA19-1D33AD5AA567}">
    <filterColumn colId="0" hiddenButton="1"/>
    <filterColumn colId="1" hiddenButton="1"/>
  </autoFilter>
  <tableColumns count="2">
    <tableColumn id="1" xr3:uid="{B46C535C-A1FB-48FA-8BAE-65C3D6BEBF91}" name="REVENUE" dataDxfId="331"/>
    <tableColumn id="2" xr3:uid="{7CCAFD5D-01FD-40FA-95D4-871873DEEC64}" name="Column1" dataDxfId="330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8B7F4A08-3BF4-4461-94E2-832EF0035B84}" name="Table52" displayName="Table52" ref="E6:G8" totalsRowShown="0" headerRowDxfId="442" headerRowBorderDxfId="441" tableBorderDxfId="440" totalsRowBorderDxfId="439">
  <autoFilter ref="E6:G8" xr:uid="{8B7F4A08-3BF4-4461-94E2-832EF0035B84}">
    <filterColumn colId="0" hiddenButton="1"/>
    <filterColumn colId="1" hiddenButton="1"/>
    <filterColumn colId="2" hiddenButton="1"/>
  </autoFilter>
  <tableColumns count="3">
    <tableColumn id="1" xr3:uid="{BF0B2E20-EB76-47FC-82ED-9025C4BE842C}" name="Column1" dataDxfId="438"/>
    <tableColumn id="2" xr3:uid="{0C92F698-F3D7-433D-BAE3-C9609B6BB397}" name="W/O ALTERNIUM" dataDxfId="437"/>
    <tableColumn id="3" xr3:uid="{4B73108B-0BD9-48DF-A92F-0F6CFBA8CD0C}" name="W ALTERNIUJM" dataDxfId="436"/>
  </tableColumns>
  <tableStyleInfo name="TableStyleLight7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A142D928-E0CD-455B-A034-AEE882F28226}" name="Table17" displayName="Table17" ref="F24:G31" totalsRowShown="0" headerRowDxfId="329" headerRowBorderDxfId="328" tableBorderDxfId="327" totalsRowBorderDxfId="326">
  <autoFilter ref="F24:G31" xr:uid="{A142D928-E0CD-455B-A034-AEE882F28226}">
    <filterColumn colId="0" hiddenButton="1"/>
    <filterColumn colId="1" hiddenButton="1"/>
  </autoFilter>
  <tableColumns count="2">
    <tableColumn id="1" xr3:uid="{0F4F1589-845D-431E-8ADF-DA4A1BC244F0}" name="EXPENSES" dataDxfId="325"/>
    <tableColumn id="2" xr3:uid="{345F67AF-6836-472F-AEF4-DAB8211B9079}" name="Column1" dataDxfId="324"/>
  </tableColumns>
  <tableStyleInfo name="TableStyleLight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91BD377C-B98B-4AAE-A45D-B2D2C82365FA}" name="Table18" displayName="Table18" ref="C33:D42" totalsRowShown="0" headerRowDxfId="323" headerRowBorderDxfId="322" tableBorderDxfId="321">
  <autoFilter ref="C33:D42" xr:uid="{91BD377C-B98B-4AAE-A45D-B2D2C82365FA}">
    <filterColumn colId="0" hiddenButton="1"/>
    <filterColumn colId="1" hiddenButton="1"/>
  </autoFilter>
  <tableColumns count="2">
    <tableColumn id="1" xr3:uid="{CFF9C7FE-DE8E-48AE-9713-D69EE9F23661}" name="WORKING CAPITAL" dataDxfId="320"/>
    <tableColumn id="2" xr3:uid="{A271EB02-2B23-41D4-80A4-C93A80D8F536}" name="Column1" dataDxfId="319"/>
  </tableColumns>
  <tableStyleInfo name="TableStyleLight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1D75D5C8-CD72-4391-A45C-2E02041D3839}" name="Table19" displayName="Table19" ref="C45:D52" totalsRowShown="0" headerRowDxfId="318" headerRowBorderDxfId="317" tableBorderDxfId="316" totalsRowBorderDxfId="315">
  <autoFilter ref="C45:D52" xr:uid="{1D75D5C8-CD72-4391-A45C-2E02041D3839}">
    <filterColumn colId="0" hiddenButton="1"/>
    <filterColumn colId="1" hiddenButton="1"/>
  </autoFilter>
  <tableColumns count="2">
    <tableColumn id="1" xr3:uid="{3E23FB8D-6487-46C0-B7C8-7C55304EB2B4}" name="REVENUE" dataDxfId="314"/>
    <tableColumn id="2" xr3:uid="{E66EA504-AE7C-4890-937B-7307BD8F620F}" name="Column1" dataDxfId="313"/>
  </tableColumns>
  <tableStyleInfo name="TableStyleLight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7057F8E4-256F-41E2-9102-721B7C874C28}" name="Table20" displayName="Table20" ref="F45:G52" headerRowBorderDxfId="312" tableBorderDxfId="311" totalsRowBorderDxfId="310">
  <autoFilter ref="F45:G52" xr:uid="{7057F8E4-256F-41E2-9102-721B7C874C28}">
    <filterColumn colId="0" hiddenButton="1"/>
    <filterColumn colId="1" hiddenButton="1"/>
  </autoFilter>
  <tableColumns count="2">
    <tableColumn id="1" xr3:uid="{D0ACE996-C3F0-4A94-9760-E6AA26915C5A}" name="EXPENSES" totalsRowLabel="Total" dataDxfId="309" totalsRowDxfId="308"/>
    <tableColumn id="2" xr3:uid="{3B312282-F286-4BE1-B44A-324D5DD9B391}" name="Column1" totalsRowFunction="sum" dataDxfId="307" totalsRowDxfId="306"/>
  </tableColumns>
  <tableStyleInfo name="TableStyleLight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DA635826-BB99-4CEC-B6C2-7FC2FE9854B7}" name="Table21" displayName="Table21" ref="C54:D57" totalsRowShown="0" headerRowDxfId="305" headerRowBorderDxfId="304" tableBorderDxfId="303" totalsRowBorderDxfId="302">
  <autoFilter ref="C54:D57" xr:uid="{DA635826-BB99-4CEC-B6C2-7FC2FE9854B7}">
    <filterColumn colId="0" hiddenButton="1"/>
    <filterColumn colId="1" hiddenButton="1"/>
  </autoFilter>
  <tableColumns count="2">
    <tableColumn id="1" xr3:uid="{345EE81F-4DC0-4BBF-8984-402C00C93B58}" name="WORKING CAPITAL" dataDxfId="301"/>
    <tableColumn id="2" xr3:uid="{B7F5867B-A6A9-40C1-ACC4-58D42DCF1EFB}" name="Column1" dataDxfId="300"/>
  </tableColumns>
  <tableStyleInfo name="TableStyleLight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6651567B-16F4-483A-ABCC-33341F30277D}" name="Table22" displayName="Table22" ref="C59:D64" totalsRowShown="0" headerRowBorderDxfId="299" tableBorderDxfId="298" totalsRowBorderDxfId="297">
  <autoFilter ref="C59:D64" xr:uid="{6651567B-16F4-483A-ABCC-33341F30277D}">
    <filterColumn colId="0" hiddenButton="1"/>
    <filterColumn colId="1" hiddenButton="1"/>
  </autoFilter>
  <tableColumns count="2">
    <tableColumn id="1" xr3:uid="{AD217D62-C23B-4335-9568-988DC58AB453}" name="Column1" dataDxfId="296"/>
    <tableColumn id="2" xr3:uid="{0BA746DE-DE03-4CD2-AC8F-D0619BC6B247}" name="Column2" dataDxfId="295"/>
  </tableColumns>
  <tableStyleInfo name="TableStyleLight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1F115E7C-AF8C-4DB8-88EF-37F01371B183}" name="Table23" displayName="Table23" ref="C66:D73" totalsRowShown="0" headerRowDxfId="294" headerRowBorderDxfId="293" tableBorderDxfId="292" totalsRowBorderDxfId="291">
  <autoFilter ref="C66:D73" xr:uid="{1F115E7C-AF8C-4DB8-88EF-37F01371B183}">
    <filterColumn colId="0" hiddenButton="1"/>
    <filterColumn colId="1" hiddenButton="1"/>
  </autoFilter>
  <tableColumns count="2">
    <tableColumn id="1" xr3:uid="{778E3AEF-169F-4EF1-B51D-DC69D0A24CF6}" name="REVENUE" dataDxfId="290"/>
    <tableColumn id="2" xr3:uid="{1D088945-D5C4-45E0-8425-883AD0341013}" name="Column1" dataDxfId="289"/>
  </tableColumns>
  <tableStyleInfo name="TableStyleLight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F96BFE8-1268-4210-8F41-0EB10BF04406}" name="Table24" displayName="Table24" ref="F66:G73" totalsRowShown="0" headerRowBorderDxfId="288" tableBorderDxfId="287" totalsRowBorderDxfId="286">
  <autoFilter ref="F66:G73" xr:uid="{1F96BFE8-1268-4210-8F41-0EB10BF04406}">
    <filterColumn colId="0" hiddenButton="1"/>
    <filterColumn colId="1" hiddenButton="1"/>
  </autoFilter>
  <tableColumns count="2">
    <tableColumn id="1" xr3:uid="{86C7A215-3071-46C0-987F-5ECD2209C348}" name="EXPENSES" dataDxfId="285"/>
    <tableColumn id="2" xr3:uid="{92127B11-6ED8-4F2B-AC49-474A66EBD8AC}" name="Column1" dataDxfId="284"/>
  </tableColumns>
  <tableStyleInfo name="TableStyleLight5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BB1207F-C785-4CB1-B607-4DD7B06943E2}" name="Table25" displayName="Table25" ref="C75:D78" totalsRowShown="0" headerRowDxfId="283" headerRowBorderDxfId="282" tableBorderDxfId="281" totalsRowBorderDxfId="280">
  <autoFilter ref="C75:D78" xr:uid="{4BB1207F-C785-4CB1-B607-4DD7B06943E2}">
    <filterColumn colId="0" hiddenButton="1"/>
    <filterColumn colId="1" hiddenButton="1"/>
  </autoFilter>
  <tableColumns count="2">
    <tableColumn id="1" xr3:uid="{D635470D-9D20-42E9-951D-81DB0C0013AD}" name="WORKING CAPITAL" dataDxfId="279"/>
    <tableColumn id="2" xr3:uid="{8EC5F96A-9CEA-4E9A-98B2-11A466A4E4C8}" name="Column1" dataDxfId="278"/>
  </tableColumns>
  <tableStyleInfo name="TableStyleLight5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B459B38C-64AE-4E16-A6EB-27CAABCC86FE}" name="Table26" displayName="Table26" ref="C80:D85" totalsRowShown="0" headerRowBorderDxfId="277" tableBorderDxfId="276" totalsRowBorderDxfId="275">
  <autoFilter ref="C80:D85" xr:uid="{B459B38C-64AE-4E16-A6EB-27CAABCC86FE}">
    <filterColumn colId="0" hiddenButton="1"/>
    <filterColumn colId="1" hiddenButton="1"/>
  </autoFilter>
  <tableColumns count="2">
    <tableColumn id="1" xr3:uid="{99C62A70-AE77-4327-A0FB-8FCD3F4090D4}" name="Column1" dataDxfId="274"/>
    <tableColumn id="2" xr3:uid="{D753063E-AC1A-4E58-A930-45CF2EB64847}" name="Column2" dataDxfId="273"/>
  </tableColumns>
  <tableStyleInfo name="TableStyleLight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7BFE764F-B894-4B1F-9865-2AD6BF7AA33E}" name="Table53" displayName="Table53" ref="G16:H18" totalsRowShown="0" headerRowDxfId="435" headerRowBorderDxfId="434" tableBorderDxfId="433" totalsRowBorderDxfId="432">
  <autoFilter ref="G16:H18" xr:uid="{7BFE764F-B894-4B1F-9865-2AD6BF7AA33E}">
    <filterColumn colId="0" hiddenButton="1"/>
    <filterColumn colId="1" hiddenButton="1"/>
  </autoFilter>
  <tableColumns count="2">
    <tableColumn id="1" xr3:uid="{D94DBE97-63D0-4260-BA17-55221FFDD8E4}" name="International Participants">
      <calculatedColumnFormula>G16/65</calculatedColumnFormula>
    </tableColumn>
    <tableColumn id="2" xr3:uid="{97B288DA-54A7-429D-BD65-CCA611D21E33}" name="%age" dataDxfId="431"/>
  </tableColumns>
  <tableStyleInfo name="TableStyleLight7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78E3933-7A2F-48C1-B43F-9FEDE11899A9}" name="Table27" displayName="Table27" ref="C87:D94" totalsRowShown="0" headerRowDxfId="272" headerRowBorderDxfId="271" tableBorderDxfId="270" totalsRowBorderDxfId="269">
  <autoFilter ref="C87:D94" xr:uid="{078E3933-7A2F-48C1-B43F-9FEDE11899A9}">
    <filterColumn colId="0" hiddenButton="1"/>
    <filterColumn colId="1" hiddenButton="1"/>
  </autoFilter>
  <tableColumns count="2">
    <tableColumn id="1" xr3:uid="{27BAF047-20AD-4FBD-B3B0-C13BFAACBF68}" name="REVENUE" dataDxfId="268"/>
    <tableColumn id="2" xr3:uid="{89AB40AF-1D87-4EAA-89A1-A0462E9591A9}" name="Column1" dataDxfId="267"/>
  </tableColumns>
  <tableStyleInfo name="TableStyleLight5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E4B94C5F-A575-4A20-927C-01CA5682F5BB}" name="Table28" displayName="Table28" ref="F87:G94" totalsRowShown="0" headerRowBorderDxfId="266" tableBorderDxfId="265" totalsRowBorderDxfId="264">
  <autoFilter ref="F87:G94" xr:uid="{E4B94C5F-A575-4A20-927C-01CA5682F5BB}">
    <filterColumn colId="0" hiddenButton="1"/>
    <filterColumn colId="1" hiddenButton="1"/>
  </autoFilter>
  <tableColumns count="2">
    <tableColumn id="1" xr3:uid="{026C7AFF-1E50-4335-AE49-9AB04FE7539C}" name="EXPENSES" dataDxfId="263"/>
    <tableColumn id="2" xr3:uid="{6545265D-BBD7-4BAE-B424-489E0C65F99C}" name="Column1" dataDxfId="262"/>
  </tableColumns>
  <tableStyleInfo name="TableStyleLight5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35FA37F2-FD2B-4B4D-A982-4AA3B87240AC}" name="Table29" displayName="Table29" ref="C96:D99" totalsRowShown="0" headerRowDxfId="261" headerRowBorderDxfId="260" tableBorderDxfId="259" totalsRowBorderDxfId="258">
  <autoFilter ref="C96:D99" xr:uid="{35FA37F2-FD2B-4B4D-A982-4AA3B87240AC}">
    <filterColumn colId="0" hiddenButton="1"/>
    <filterColumn colId="1" hiddenButton="1"/>
  </autoFilter>
  <tableColumns count="2">
    <tableColumn id="1" xr3:uid="{A8B05132-1EC5-4B90-AB43-CB2BCD85697A}" name="WORKING CAPITAL" dataDxfId="257"/>
    <tableColumn id="2" xr3:uid="{3FB1E2F7-1953-4D84-B484-85EAAD1EF1BA}" name="Column1" dataDxfId="256"/>
  </tableColumns>
  <tableStyleInfo name="TableStyleLight5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79CCDD74-3B05-49AD-887B-D97AB3F57B6A}" name="Table30" displayName="Table30" ref="C101:D106" totalsRowShown="0" headerRowBorderDxfId="255" tableBorderDxfId="254" totalsRowBorderDxfId="253">
  <autoFilter ref="C101:D106" xr:uid="{79CCDD74-3B05-49AD-887B-D97AB3F57B6A}">
    <filterColumn colId="0" hiddenButton="1"/>
    <filterColumn colId="1" hiddenButton="1"/>
  </autoFilter>
  <tableColumns count="2">
    <tableColumn id="1" xr3:uid="{AC26C61F-3812-439E-AB93-4816BA2D18E0}" name="Column1" dataDxfId="252"/>
    <tableColumn id="2" xr3:uid="{D61AAE66-812F-4369-AC0C-C800C7B6E559}" name="Column2" dataDxfId="251"/>
  </tableColumns>
  <tableStyleInfo name="TableStyleLight5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C52FDA1-68E6-405A-9194-55FBC162872D}" name="Table31" displayName="Table31" ref="C108:D115" totalsRowShown="0" headerRowDxfId="250" headerRowBorderDxfId="249" tableBorderDxfId="248" totalsRowBorderDxfId="247">
  <autoFilter ref="C108:D115" xr:uid="{0C52FDA1-68E6-405A-9194-55FBC162872D}">
    <filterColumn colId="0" hiddenButton="1"/>
    <filterColumn colId="1" hiddenButton="1"/>
  </autoFilter>
  <tableColumns count="2">
    <tableColumn id="1" xr3:uid="{96723B1B-4839-43BD-AFDA-42C040C45F40}" name="REVENUE" dataDxfId="246"/>
    <tableColumn id="2" xr3:uid="{1C5B3E93-EAC8-438D-847F-19FB039EF843}" name="Column1" dataDxfId="245"/>
  </tableColumns>
  <tableStyleInfo name="TableStyleLight5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B1E3FEA3-6027-467A-9188-CEF9F4F59D3D}" name="Table32" displayName="Table32" ref="F108:G115" totalsRowShown="0" headerRowBorderDxfId="244" tableBorderDxfId="243" totalsRowBorderDxfId="242">
  <autoFilter ref="F108:G115" xr:uid="{B1E3FEA3-6027-467A-9188-CEF9F4F59D3D}">
    <filterColumn colId="0" hiddenButton="1"/>
    <filterColumn colId="1" hiddenButton="1"/>
  </autoFilter>
  <tableColumns count="2">
    <tableColumn id="1" xr3:uid="{24AD6F05-50AA-4786-88FE-3EBE0470BFE0}" name="EXPENSES" dataDxfId="241"/>
    <tableColumn id="2" xr3:uid="{C5717C05-301C-40F3-9061-8148790CE29E}" name="Column1" dataDxfId="240"/>
  </tableColumns>
  <tableStyleInfo name="TableStyleLight5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9E8BBDB-94C3-429E-9300-7C5AC9814A20}" name="Table33" displayName="Table33" ref="C117:D120" totalsRowShown="0" headerRowDxfId="239" headerRowBorderDxfId="238" tableBorderDxfId="237" totalsRowBorderDxfId="236">
  <autoFilter ref="C117:D120" xr:uid="{89E8BBDB-94C3-429E-9300-7C5AC9814A20}">
    <filterColumn colId="0" hiddenButton="1"/>
    <filterColumn colId="1" hiddenButton="1"/>
  </autoFilter>
  <tableColumns count="2">
    <tableColumn id="1" xr3:uid="{C2568B00-C29B-4281-96B5-18CD7EC6794F}" name="WORKING CAPITAL" dataDxfId="235"/>
    <tableColumn id="2" xr3:uid="{90A499D6-5F37-4968-83C4-06AFF2191ACC}" name="Column1" dataDxfId="234"/>
  </tableColumns>
  <tableStyleInfo name="TableStyleLight5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3BAD0F4A-E7E9-4958-A573-A6F0D4503247}" name="Table34" displayName="Table34" ref="C122:D127" totalsRowShown="0" headerRowBorderDxfId="233" tableBorderDxfId="232" totalsRowBorderDxfId="231">
  <autoFilter ref="C122:D127" xr:uid="{3BAD0F4A-E7E9-4958-A573-A6F0D4503247}">
    <filterColumn colId="0" hiddenButton="1"/>
    <filterColumn colId="1" hiddenButton="1"/>
  </autoFilter>
  <tableColumns count="2">
    <tableColumn id="1" xr3:uid="{6272C146-3D7E-49E4-899A-823EF4C78623}" name="Column1" dataDxfId="230"/>
    <tableColumn id="2" xr3:uid="{C34E85F3-FFD7-49A7-AC39-E836C04F6A95}" name="Column2" dataDxfId="229"/>
  </tableColumns>
  <tableStyleInfo name="TableStyleLight5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7DA1EC06-0EA5-4647-B0DE-96E87CA14104}" name="Table35" displayName="Table35" ref="C129:D136" totalsRowShown="0" headerRowDxfId="228" headerRowBorderDxfId="227" tableBorderDxfId="226" totalsRowBorderDxfId="225">
  <autoFilter ref="C129:D136" xr:uid="{7DA1EC06-0EA5-4647-B0DE-96E87CA14104}">
    <filterColumn colId="0" hiddenButton="1"/>
    <filterColumn colId="1" hiddenButton="1"/>
  </autoFilter>
  <tableColumns count="2">
    <tableColumn id="1" xr3:uid="{C173EA32-99C8-4132-8253-E091528CF671}" name="REVENUE" dataDxfId="224"/>
    <tableColumn id="2" xr3:uid="{0D898CD9-B8EE-4BA2-843C-77DAF52F84AB}" name="Column1" dataDxfId="223"/>
  </tableColumns>
  <tableStyleInfo name="TableStyleLight5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4DBD6E20-0A0A-45F6-80D5-FB9CA3380332}" name="Table36" displayName="Table36" ref="F129:G136" totalsRowShown="0" headerRowBorderDxfId="222" tableBorderDxfId="221" totalsRowBorderDxfId="220">
  <autoFilter ref="F129:G136" xr:uid="{4DBD6E20-0A0A-45F6-80D5-FB9CA3380332}">
    <filterColumn colId="0" hiddenButton="1"/>
    <filterColumn colId="1" hiddenButton="1"/>
  </autoFilter>
  <tableColumns count="2">
    <tableColumn id="1" xr3:uid="{17DA4E0F-209A-4BF6-806F-A6B1EAB8E7CB}" name="EXPENSES" dataDxfId="219"/>
    <tableColumn id="2" xr3:uid="{2AD3F956-888F-4919-AF9C-DC721231E605}" name="Column1" dataDxfId="218"/>
  </tableColumns>
  <tableStyleInfo name="TableStyleLight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98CEABDB-69D0-4C7A-A338-08E7C1F56782}" name="Table54" displayName="Table54" ref="E24:F25" headerRowCount="0" totalsRowShown="0" headerRowDxfId="430" headerRowBorderDxfId="429" tableBorderDxfId="428" totalsRowBorderDxfId="427">
  <tableColumns count="2">
    <tableColumn id="1" xr3:uid="{4576CA53-8B7F-49E9-AC38-6374AA3948E7}" name="Column1" headerRowDxfId="426" dataDxfId="425"/>
    <tableColumn id="2" xr3:uid="{0938D7A1-ED4D-43EB-A2F1-2F1AA5D70388}" name="Column2" headerRowDxfId="424" dataDxfId="423"/>
  </tableColumns>
  <tableStyleInfo name="TableStyleLight7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2A57B5D-7C67-48BC-B553-EB9BC0BE95A6}" name="Table37" displayName="Table37" ref="C138:D141" totalsRowShown="0" headerRowDxfId="217" headerRowBorderDxfId="216" tableBorderDxfId="215" totalsRowBorderDxfId="214">
  <autoFilter ref="C138:D141" xr:uid="{02A57B5D-7C67-48BC-B553-EB9BC0BE95A6}">
    <filterColumn colId="0" hiddenButton="1"/>
    <filterColumn colId="1" hiddenButton="1"/>
  </autoFilter>
  <tableColumns count="2">
    <tableColumn id="1" xr3:uid="{27707A6E-0C6C-426B-ACD0-CC508EB78B95}" name="WORKING CAPITAL" dataDxfId="213"/>
    <tableColumn id="2" xr3:uid="{E8533CEC-707E-4007-BC2E-BF9E173FE84B}" name="Column1" dataDxfId="212"/>
  </tableColumns>
  <tableStyleInfo name="TableStyleLight5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517E67E-7818-4F07-B6E8-BE60681B762A}" name="Table38" displayName="Table38" ref="C143:D148" totalsRowShown="0" headerRowBorderDxfId="211" tableBorderDxfId="210" totalsRowBorderDxfId="209">
  <autoFilter ref="C143:D148" xr:uid="{0517E67E-7818-4F07-B6E8-BE60681B762A}">
    <filterColumn colId="0" hiddenButton="1"/>
    <filterColumn colId="1" hiddenButton="1"/>
  </autoFilter>
  <tableColumns count="2">
    <tableColumn id="1" xr3:uid="{E94B030C-803F-49F0-8280-5A607CEA5228}" name="Column1" dataDxfId="208"/>
    <tableColumn id="2" xr3:uid="{DE0447C1-8C13-4256-B141-EE2F3104D827}" name="Column2" dataDxfId="207"/>
  </tableColumns>
  <tableStyleInfo name="TableStyleLight5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DD09EBEC-801F-4FDC-9FF9-7077D7139362}" name="Table39" displayName="Table39" ref="C150:D157" totalsRowShown="0" headerRowDxfId="206" headerRowBorderDxfId="205" tableBorderDxfId="204" totalsRowBorderDxfId="203">
  <autoFilter ref="C150:D157" xr:uid="{DD09EBEC-801F-4FDC-9FF9-7077D7139362}">
    <filterColumn colId="0" hiddenButton="1"/>
    <filterColumn colId="1" hiddenButton="1"/>
  </autoFilter>
  <tableColumns count="2">
    <tableColumn id="1" xr3:uid="{20B40704-1E15-4BB4-95F1-D0445E112D67}" name="REVENUE" dataDxfId="202"/>
    <tableColumn id="2" xr3:uid="{E52B206F-F553-4A68-9D0A-5E9588AE1C19}" name="Column1" dataDxfId="201"/>
  </tableColumns>
  <tableStyleInfo name="TableStyleLight5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FBF824C4-FFDB-4FBB-A13D-95B367CBECE5}" name="Table40" displayName="Table40" ref="F150:G157" totalsRowShown="0" headerRowBorderDxfId="200" tableBorderDxfId="199" totalsRowBorderDxfId="198">
  <autoFilter ref="F150:G157" xr:uid="{FBF824C4-FFDB-4FBB-A13D-95B367CBECE5}">
    <filterColumn colId="0" hiddenButton="1"/>
    <filterColumn colId="1" hiddenButton="1"/>
  </autoFilter>
  <tableColumns count="2">
    <tableColumn id="1" xr3:uid="{3D63082E-E94C-4DC6-BDC2-B8E8E248F4BD}" name="EXPENSES" dataDxfId="197"/>
    <tableColumn id="2" xr3:uid="{8F765B8F-6BF0-495A-8CDA-CF454F116885}" name="Column1" dataDxfId="196"/>
  </tableColumns>
  <tableStyleInfo name="TableStyleLight5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2B1F803C-060D-491B-925B-D24FC17FAD4A}" name="Table41" displayName="Table41" ref="C159:D162" totalsRowShown="0" headerRowDxfId="195" headerRowBorderDxfId="194" tableBorderDxfId="193" totalsRowBorderDxfId="192">
  <autoFilter ref="C159:D162" xr:uid="{2B1F803C-060D-491B-925B-D24FC17FAD4A}">
    <filterColumn colId="0" hiddenButton="1"/>
    <filterColumn colId="1" hiddenButton="1"/>
  </autoFilter>
  <tableColumns count="2">
    <tableColumn id="1" xr3:uid="{2D401AC7-9D3C-41C9-BFA0-033A193BF04B}" name="WORKING CAPITAL" dataDxfId="191"/>
    <tableColumn id="2" xr3:uid="{857B8117-83AB-45A3-B269-945E7AABD249}" name="Column1" dataDxfId="190"/>
  </tableColumns>
  <tableStyleInfo name="TableStyleLight5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8BECA67B-4990-40CE-89A8-6B2B0286B8E6}" name="Table42" displayName="Table42" ref="C164:D169" totalsRowShown="0" headerRowBorderDxfId="189" tableBorderDxfId="188" totalsRowBorderDxfId="187">
  <autoFilter ref="C164:D169" xr:uid="{8BECA67B-4990-40CE-89A8-6B2B0286B8E6}">
    <filterColumn colId="0" hiddenButton="1"/>
    <filterColumn colId="1" hiddenButton="1"/>
  </autoFilter>
  <tableColumns count="2">
    <tableColumn id="1" xr3:uid="{3D05CDA2-0F35-4B38-8ACA-82424F0A8A24}" name="Column1" dataDxfId="186"/>
    <tableColumn id="2" xr3:uid="{89CF4F91-3BAE-4222-B4DB-024DF2CDA945}" name="Column2" dataDxfId="185"/>
  </tableColumns>
  <tableStyleInfo name="TableStyleLight5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498E2269-220F-4F49-BEB5-8E129852C00E}" name="Table43" displayName="Table43" ref="F171:G178" totalsRowShown="0" headerRowBorderDxfId="184" tableBorderDxfId="183" totalsRowBorderDxfId="182">
  <autoFilter ref="F171:G178" xr:uid="{498E2269-220F-4F49-BEB5-8E129852C00E}">
    <filterColumn colId="0" hiddenButton="1"/>
    <filterColumn colId="1" hiddenButton="1"/>
  </autoFilter>
  <tableColumns count="2">
    <tableColumn id="1" xr3:uid="{516944FD-292F-4391-8943-06F57FDE3069}" name="EXPENSES" dataDxfId="181"/>
    <tableColumn id="2" xr3:uid="{62523193-E277-47EA-ABC7-71BD8C88356F}" name="Column1" dataDxfId="180"/>
  </tableColumns>
  <tableStyleInfo name="TableStyleLight5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9E96728E-EFB5-46D4-A7BC-2883F5269FF8}" name="Table44" displayName="Table44" ref="C171:D178" totalsRowShown="0" headerRowDxfId="179" headerRowBorderDxfId="178" tableBorderDxfId="177" totalsRowBorderDxfId="176">
  <autoFilter ref="C171:D178" xr:uid="{9E96728E-EFB5-46D4-A7BC-2883F5269FF8}">
    <filterColumn colId="0" hiddenButton="1"/>
    <filterColumn colId="1" hiddenButton="1"/>
  </autoFilter>
  <tableColumns count="2">
    <tableColumn id="1" xr3:uid="{7640F402-495D-41C1-8478-304D6029FBEA}" name="REVENUE" dataDxfId="175"/>
    <tableColumn id="2" xr3:uid="{2A64D3AF-0001-4CCB-BE94-6DB7F4C55291}" name="Column1" dataDxfId="174"/>
  </tableColumns>
  <tableStyleInfo name="TableStyleLight5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5B6D8FD5-7306-4018-A661-1C4FFAED4282}" name="Table45" displayName="Table45" ref="C180:D183" totalsRowShown="0" headerRowDxfId="173" headerRowBorderDxfId="172" tableBorderDxfId="171" totalsRowBorderDxfId="170">
  <autoFilter ref="C180:D183" xr:uid="{5B6D8FD5-7306-4018-A661-1C4FFAED4282}">
    <filterColumn colId="0" hiddenButton="1"/>
    <filterColumn colId="1" hiddenButton="1"/>
  </autoFilter>
  <tableColumns count="2">
    <tableColumn id="1" xr3:uid="{121FF53F-BA92-4A1C-B6C1-8B2FFCA81F56}" name="WORKING CAPITAL" dataDxfId="169"/>
    <tableColumn id="2" xr3:uid="{5D6BE028-E876-4861-BFFA-3D52F60CE564}" name="Column1" dataDxfId="168"/>
  </tableColumns>
  <tableStyleInfo name="TableStyleLight5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8261E386-B490-415A-98B7-000065F061C8}" name="Table46" displayName="Table46" ref="C185:D190" totalsRowShown="0" headerRowBorderDxfId="167" tableBorderDxfId="166" totalsRowBorderDxfId="165">
  <autoFilter ref="C185:D190" xr:uid="{8261E386-B490-415A-98B7-000065F061C8}">
    <filterColumn colId="0" hiddenButton="1"/>
    <filterColumn colId="1" hiddenButton="1"/>
  </autoFilter>
  <tableColumns count="2">
    <tableColumn id="1" xr3:uid="{D4C1D5A9-CEB0-4E39-9B30-6F22EC9A027A}" name="Column1" dataDxfId="164"/>
    <tableColumn id="2" xr3:uid="{DCC7D81E-EF81-47A3-8474-903055BF7070}" name="Column2" dataDxfId="163"/>
  </tableColumns>
  <tableStyleInfo name="TableStyleLight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BB6CD4-4E11-4E60-99F2-D816EC7B55F1}" name="Table1" displayName="Table1" ref="C3:D10" totalsRowShown="0" headerRowDxfId="422" headerRowBorderDxfId="421" tableBorderDxfId="420" totalsRowBorderDxfId="419">
  <autoFilter ref="C3:D10" xr:uid="{37BB6CD4-4E11-4E60-99F2-D816EC7B55F1}">
    <filterColumn colId="0" hiddenButton="1"/>
    <filterColumn colId="1" hiddenButton="1"/>
  </autoFilter>
  <tableColumns count="2">
    <tableColumn id="1" xr3:uid="{DF92015D-0618-4A9D-BB22-F227983DAE86}" name="REVENUE" dataDxfId="418"/>
    <tableColumn id="2" xr3:uid="{140D5D7D-CEBC-4CBD-9CBA-A70225C369C2}" name="Column1" dataDxfId="417"/>
  </tableColumns>
  <tableStyleInfo name="TableStyleLight5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FF5890D5-9FFA-4CBE-80D6-21271B8EA721}" name="Table47" displayName="Table47" ref="F192:G200" totalsRowShown="0" headerRowBorderDxfId="162" tableBorderDxfId="161" totalsRowBorderDxfId="160">
  <autoFilter ref="F192:G200" xr:uid="{FF5890D5-9FFA-4CBE-80D6-21271B8EA721}">
    <filterColumn colId="0" hiddenButton="1"/>
    <filterColumn colId="1" hiddenButton="1"/>
  </autoFilter>
  <tableColumns count="2">
    <tableColumn id="1" xr3:uid="{FA42B712-D9F5-426E-BBD1-781CBE4C1F59}" name="EXPENSES" dataDxfId="159"/>
    <tableColumn id="2" xr3:uid="{9842B94F-DE9B-4B97-8822-D16B896EB763}" name="Column1" dataDxfId="158"/>
  </tableColumns>
  <tableStyleInfo name="TableStyleLight5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6011A945-56B7-4CB3-8466-020A455E04C3}" name="Table48" displayName="Table48" ref="C192:D201" totalsRowShown="0" headerRowDxfId="157" headerRowBorderDxfId="156" tableBorderDxfId="155" totalsRowBorderDxfId="154">
  <autoFilter ref="C192:D201" xr:uid="{6011A945-56B7-4CB3-8466-020A455E04C3}">
    <filterColumn colId="0" hiddenButton="1"/>
    <filterColumn colId="1" hiddenButton="1"/>
  </autoFilter>
  <tableColumns count="2">
    <tableColumn id="1" xr3:uid="{F423B698-6D9E-4AFE-BCDA-D1B965508253}" name="Column1" dataDxfId="153"/>
    <tableColumn id="2" xr3:uid="{FB6FED06-0460-44EC-BF82-E3F2508AD6B8}" name="Column2" dataDxfId="152"/>
  </tableColumns>
  <tableStyleInfo name="TableStyleLight5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F92FE260-05F7-4B12-A41E-4C98867CFF7E}" name="Table49" displayName="Table49" ref="C202:D205" totalsRowShown="0" headerRowDxfId="151" headerRowBorderDxfId="150" tableBorderDxfId="149" totalsRowBorderDxfId="148">
  <autoFilter ref="C202:D205" xr:uid="{F92FE260-05F7-4B12-A41E-4C98867CFF7E}">
    <filterColumn colId="0" hiddenButton="1"/>
    <filterColumn colId="1" hiddenButton="1"/>
  </autoFilter>
  <tableColumns count="2">
    <tableColumn id="1" xr3:uid="{3DD53802-03FF-4F0B-AC5B-178DB034A7BD}" name="WORKING CAPITAL" dataDxfId="147"/>
    <tableColumn id="2" xr3:uid="{2C6F98EC-DF4E-42EE-AF6E-FBCFB3408861}" name="Column1" dataDxfId="146"/>
  </tableColumns>
  <tableStyleInfo name="TableStyleLight5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69DE8F3C-B555-4BC8-BACC-A6E190251216}" name="Table50" displayName="Table50" ref="C207:D212" totalsRowShown="0" headerRowBorderDxfId="145" tableBorderDxfId="144" totalsRowBorderDxfId="143">
  <autoFilter ref="C207:D212" xr:uid="{69DE8F3C-B555-4BC8-BACC-A6E190251216}">
    <filterColumn colId="0" hiddenButton="1"/>
    <filterColumn colId="1" hiddenButton="1"/>
  </autoFilter>
  <tableColumns count="2">
    <tableColumn id="1" xr3:uid="{A3260027-3AF1-4FAE-BE9A-E8493B7C6718}" name="Column1" dataDxfId="142"/>
    <tableColumn id="2" xr3:uid="{3F884EFC-B459-4C11-92C3-38810C663AB7}" name="Column2" dataDxfId="141"/>
  </tableColumns>
  <tableStyleInfo name="TableStyleLight5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C575B966-A25F-4AA0-A8C3-821EC2E40A09}" name="Table58" displayName="Table58" ref="A39:E55" headerRowCount="0" totalsRowShown="0" headerRowDxfId="140" headerRowBorderDxfId="139" tableBorderDxfId="138" totalsRowBorderDxfId="137">
  <tableColumns count="5">
    <tableColumn id="1" xr3:uid="{699899B7-E344-45A7-A0BA-900803F65876}" name="Column1" headerRowDxfId="136" dataDxfId="135"/>
    <tableColumn id="2" xr3:uid="{50A3E26B-BCBB-45D0-A09D-911CC6E6EEA1}" name="Column2" headerRowDxfId="134" dataDxfId="133"/>
    <tableColumn id="3" xr3:uid="{CCB91EB8-1442-49CC-82D0-1DAF09B0F0C2}" name="Column3" headerRowDxfId="132" dataDxfId="131"/>
    <tableColumn id="4" xr3:uid="{9CCE8D95-18D6-415E-B684-58D72588FBD6}" name="Column4" headerRowDxfId="130" dataDxfId="129"/>
    <tableColumn id="5" xr3:uid="{E87B0074-4CCD-44E4-8DFD-9425AC863FEE}" name="Column5" headerRowDxfId="128" dataDxfId="127"/>
  </tableColumns>
  <tableStyleInfo name="TableStyleLight3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CBE3D97D-7951-4D05-B98B-0EA6C3B42CE6}" name="Table59" displayName="Table59" ref="A21:E37" headerRowCount="0" totalsRowShown="0" headerRowDxfId="126" headerRowBorderDxfId="125" tableBorderDxfId="124" totalsRowBorderDxfId="123">
  <tableColumns count="5">
    <tableColumn id="1" xr3:uid="{B43994EB-8DD8-4A04-BCA7-D338B0BDD45D}" name="Column1" headerRowDxfId="122" dataDxfId="121"/>
    <tableColumn id="2" xr3:uid="{9F5DCD37-66E8-4CF8-8BEF-AF8D15993FDF}" name="Column2" headerRowDxfId="120" dataDxfId="119"/>
    <tableColumn id="3" xr3:uid="{48E94F09-F18E-4A13-86A4-E9FD8FC6ADCA}" name="Column3" headerRowDxfId="118" dataDxfId="117"/>
    <tableColumn id="4" xr3:uid="{55E769C8-15A7-4BFD-9CDC-FB0265640BB6}" name="Column4" headerRowDxfId="116" dataDxfId="115"/>
    <tableColumn id="5" xr3:uid="{48964415-BEF6-45F2-BE3C-D37562A1A0C0}" name="Column5" headerRowDxfId="114" dataDxfId="113"/>
  </tableColumns>
  <tableStyleInfo name="TableStyleLight3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EFA46EB4-2148-4204-B42E-420D24C7DDA9}" name="Table60" displayName="Table60" ref="A3:E19" headerRowCount="0" totalsRowShown="0" headerRowDxfId="112" headerRowBorderDxfId="111" tableBorderDxfId="110" totalsRowBorderDxfId="109">
  <tableColumns count="5">
    <tableColumn id="1" xr3:uid="{D18A0334-0D98-4BEB-AB5C-590EBF2107E6}" name="Column1" headerRowDxfId="108" dataDxfId="107"/>
    <tableColumn id="2" xr3:uid="{D99A46CF-01DF-4BAF-8ACA-AA924E0BF292}" name="Column2" headerRowDxfId="106" dataDxfId="105"/>
    <tableColumn id="3" xr3:uid="{5CEE9FBB-04E7-4771-A895-BD7C64617ABC}" name="Column3" headerRowDxfId="104" dataDxfId="103"/>
    <tableColumn id="4" xr3:uid="{9C5A5B7B-F044-45E1-8854-8CF3CF5628EA}" name="Column4" headerRowDxfId="102" dataDxfId="101"/>
    <tableColumn id="5" xr3:uid="{1247E1C1-8E07-44D0-BACC-7EAC892E8129}" name="Column5" headerRowDxfId="100" dataDxfId="99"/>
  </tableColumns>
  <tableStyleInfo name="TableStyleLight3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B10C3539-A936-4D36-8DC9-821D644BC70A}" name="Table61" displayName="Table61" ref="H3:L19" headerRowCount="0" totalsRowShown="0" headerRowDxfId="98" headerRowBorderDxfId="97" tableBorderDxfId="96" totalsRowBorderDxfId="95">
  <tableColumns count="5">
    <tableColumn id="1" xr3:uid="{A03ECD7C-6553-4CCE-87E5-91F06F187CA6}" name="Column1" headerRowDxfId="94" dataDxfId="93"/>
    <tableColumn id="2" xr3:uid="{EE7A8EF7-E4FC-4326-9C65-0EB364391967}" name="Column2" headerRowDxfId="92" dataDxfId="91"/>
    <tableColumn id="3" xr3:uid="{59A69E2B-78D5-4DB0-8284-CDDB307CFE72}" name="Column3" headerRowDxfId="90" dataDxfId="89"/>
    <tableColumn id="4" xr3:uid="{A5767C60-FF67-4A21-8B08-C702D734EED6}" name="Column4" headerRowDxfId="88" dataDxfId="87"/>
    <tableColumn id="5" xr3:uid="{5E59779F-84A2-469A-BE2B-F66D25F5AB39}" name="Column5" headerRowDxfId="86" dataDxfId="85"/>
  </tableColumns>
  <tableStyleInfo name="TableStyleLight3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C9764C9D-6B79-4295-A38C-4F6C56DA38B0}" name="Table62" displayName="Table62" ref="E2:G5" totalsRowShown="0">
  <autoFilter ref="E2:G5" xr:uid="{C9764C9D-6B79-4295-A38C-4F6C56DA38B0}"/>
  <tableColumns count="3">
    <tableColumn id="1" xr3:uid="{860A25EC-9055-43F2-9D18-52492A7BBF49}" name="TIME"/>
    <tableColumn id="2" xr3:uid="{0A7C7136-D7B3-4680-9E49-8EAD3E4665F2}" name="NO. OF INTERNATIONAL PARTICIPANTS" dataDxfId="84">
      <calculatedColumnFormula>('AFTER TAX INCREMENTAL CASH FLOW'!$L$5*(1+INTERGR)^'NPV, IRR &gt;10'!E3)+(NEWPAR*(1+NEWPARGR)^'NPV, IRR &gt;10'!E3)</calculatedColumnFormula>
    </tableColumn>
    <tableColumn id="3" xr3:uid="{7334B050-9F1E-40A3-AC74-0061D104A1BF}" name="NEW SERVER REQUIRED?">
      <calculatedColumnFormula>IF(F3&gt;$C$3, "YES","NO")</calculatedColumnFormula>
    </tableColumn>
  </tableColumns>
  <tableStyleInfo name="TableStyleLight8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F98CC03B-2C7A-4259-B2D1-2C783997C2C2}" name="Table63" displayName="Table63" ref="C10:D18" totalsRowShown="0" headerRowDxfId="83" headerRowBorderDxfId="82" tableBorderDxfId="81" totalsRowBorderDxfId="80">
  <autoFilter ref="C10:D18" xr:uid="{F98CC03B-2C7A-4259-B2D1-2C783997C2C2}">
    <filterColumn colId="0" hiddenButton="1"/>
    <filterColumn colId="1" hiddenButton="1"/>
  </autoFilter>
  <tableColumns count="2">
    <tableColumn id="1" xr3:uid="{1904184D-2DA3-46B9-A85B-E7160CD2B734}" name="REVENUE" dataDxfId="79"/>
    <tableColumn id="2" xr3:uid="{3C922FE0-B963-4D6E-9249-948791C2AFFE}" name="Column1" dataDxfId="78"/>
  </tableColumns>
  <tableStyleInfo name="TableStyleLight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69C8C61-BE0D-4900-856E-C24D5C13215E}" name="Table3" displayName="Table3" ref="F3:G10" totalsRowShown="0" headerRowDxfId="416" headerRowBorderDxfId="415" tableBorderDxfId="414" totalsRowBorderDxfId="413">
  <autoFilter ref="F3:G10" xr:uid="{E69C8C61-BE0D-4900-856E-C24D5C13215E}">
    <filterColumn colId="0" hiddenButton="1"/>
    <filterColumn colId="1" hiddenButton="1"/>
  </autoFilter>
  <tableColumns count="2">
    <tableColumn id="1" xr3:uid="{50B58A9F-B807-4B37-8344-7CA93F76F17E}" name="EXPENSES" dataDxfId="412"/>
    <tableColumn id="2" xr3:uid="{D20E1647-AF66-4DD7-A734-22C96FF2A796}" name="Column1" dataDxfId="411"/>
  </tableColumns>
  <tableStyleInfo name="TableStyleLight5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6383B2D8-276B-40B5-95B4-B696BCA54A1B}" name="Table64" displayName="Table64" ref="F10:G18" totalsRowShown="0" headerRowBorderDxfId="77" tableBorderDxfId="76" totalsRowBorderDxfId="75">
  <autoFilter ref="F10:G18" xr:uid="{6383B2D8-276B-40B5-95B4-B696BCA54A1B}">
    <filterColumn colId="0" hiddenButton="1"/>
    <filterColumn colId="1" hiddenButton="1"/>
  </autoFilter>
  <tableColumns count="2">
    <tableColumn id="1" xr3:uid="{B724071C-0E1D-4CE8-9A9C-677036D50A38}" name="EXPENSES" dataDxfId="74"/>
    <tableColumn id="2" xr3:uid="{32499D51-1CE9-49C3-879A-E5E314BE7A5D}" name="Column1" dataDxfId="73"/>
  </tableColumns>
  <tableStyleInfo name="TableStyleLight7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3157061A-0DCE-4DFD-BDD8-378C1F33BC2F}" name="Table65" displayName="Table65" ref="C20:D23" totalsRowShown="0" headerRowDxfId="72" headerRowBorderDxfId="71" tableBorderDxfId="70" totalsRowBorderDxfId="69">
  <autoFilter ref="C20:D23" xr:uid="{3157061A-0DCE-4DFD-BDD8-378C1F33BC2F}">
    <filterColumn colId="0" hiddenButton="1"/>
    <filterColumn colId="1" hiddenButton="1"/>
  </autoFilter>
  <tableColumns count="2">
    <tableColumn id="1" xr3:uid="{7E60F15B-DCCC-4197-996B-BD96F75C0CC3}" name="WORKING CAPITAL" dataDxfId="68"/>
    <tableColumn id="2" xr3:uid="{0100FF6D-2D04-47F1-8D8F-ED11D5B38A7E}" name="Column1" dataDxfId="67"/>
  </tableColumns>
  <tableStyleInfo name="TableStyleLight7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556D957F-3FF0-490C-9B93-0C3412994154}" name="Table66" displayName="Table66" ref="C26:D30" headerRowCount="0" totalsRowShown="0" headerRowBorderDxfId="66" tableBorderDxfId="65" totalsRowBorderDxfId="64">
  <tableColumns count="2">
    <tableColumn id="1" xr3:uid="{B614B2E6-E695-4969-B5C8-CACB078FEE25}" name="Column1" headerRowDxfId="63" dataDxfId="62"/>
    <tableColumn id="2" xr3:uid="{2CCAC95E-64E8-4622-B642-7B937C3F9BC0}" name="Column2" headerRowDxfId="61" dataDxfId="60"/>
  </tableColumns>
  <tableStyleInfo name="TableStyleLight7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68470A41-5D61-4BD0-84F0-683AD8D02CEF}" name="Table67" displayName="Table67" ref="F32:G40" totalsRowShown="0" headerRowBorderDxfId="59" tableBorderDxfId="58" totalsRowBorderDxfId="57">
  <autoFilter ref="F32:G40" xr:uid="{68470A41-5D61-4BD0-84F0-683AD8D02CEF}">
    <filterColumn colId="0" hiddenButton="1"/>
    <filterColumn colId="1" hiddenButton="1"/>
  </autoFilter>
  <tableColumns count="2">
    <tableColumn id="1" xr3:uid="{03EC8E01-D9CB-46F2-91D3-395E75F6E296}" name="EXPENSES" dataDxfId="56"/>
    <tableColumn id="2" xr3:uid="{E7F9432F-A2C4-4EA2-AE98-971C49CB2DC6}" name="Column1" dataDxfId="55"/>
  </tableColumns>
  <tableStyleInfo name="TableStyleLight7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5F8FAEC0-D1D4-421F-8ADF-14E0F838B46F}" name="Table68" displayName="Table68" ref="C32:D40" totalsRowShown="0" headerRowDxfId="54" headerRowBorderDxfId="53" tableBorderDxfId="52" totalsRowBorderDxfId="51">
  <autoFilter ref="C32:D40" xr:uid="{5F8FAEC0-D1D4-421F-8ADF-14E0F838B46F}">
    <filterColumn colId="0" hiddenButton="1"/>
    <filterColumn colId="1" hiddenButton="1"/>
  </autoFilter>
  <tableColumns count="2">
    <tableColumn id="1" xr3:uid="{0B3A2C41-5153-4638-B47F-64CD7CE2B86E}" name="REVENUE" dataDxfId="50"/>
    <tableColumn id="2" xr3:uid="{DBC0095F-49C3-41CC-80CF-9A6CEAA385D7}" name="Column1" dataDxfId="49"/>
  </tableColumns>
  <tableStyleInfo name="TableStyleLight7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FD556945-EB4F-40DC-9C59-E5DD8812E894}" name="Table69" displayName="Table69" ref="C42:D45" totalsRowShown="0" headerRowDxfId="48" headerRowBorderDxfId="47" tableBorderDxfId="46" totalsRowBorderDxfId="45">
  <autoFilter ref="C42:D45" xr:uid="{FD556945-EB4F-40DC-9C59-E5DD8812E894}">
    <filterColumn colId="0" hiddenButton="1"/>
    <filterColumn colId="1" hiddenButton="1"/>
  </autoFilter>
  <tableColumns count="2">
    <tableColumn id="1" xr3:uid="{7F1AE721-D65F-4EB1-8516-433B1B0FC70F}" name="WORKING CAPITAL" dataDxfId="44"/>
    <tableColumn id="2" xr3:uid="{7DD6C3AA-BEA6-45C3-BB2E-5208A3D8BEC9}" name="Column1" dataDxfId="43"/>
  </tableColumns>
  <tableStyleInfo name="TableStyleLight7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DF0C32D6-ECB5-4E5D-9D02-602DD428B108}" name="Table70" displayName="Table70" ref="C48:D52" headerRowCount="0" totalsRowShown="0" headerRowBorderDxfId="42" tableBorderDxfId="41" totalsRowBorderDxfId="40">
  <tableColumns count="2">
    <tableColumn id="1" xr3:uid="{E20C55C7-4B25-4631-8D5E-6212CCE90CB0}" name="Column1" headerRowDxfId="39" dataDxfId="38"/>
    <tableColumn id="2" xr3:uid="{65BF9172-B5E3-422B-AFEE-2E3B972B3F8D}" name="Column2" headerRowDxfId="37" dataDxfId="36"/>
  </tableColumns>
  <tableStyleInfo name="TableStyleLight7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8B01BD3E-A09D-4827-AE7E-B1CE46D54A24}" name="Table71" displayName="Table71" ref="F54:G62" totalsRowShown="0" headerRowBorderDxfId="35" tableBorderDxfId="34" totalsRowBorderDxfId="33">
  <autoFilter ref="F54:G62" xr:uid="{8B01BD3E-A09D-4827-AE7E-B1CE46D54A24}">
    <filterColumn colId="0" hiddenButton="1"/>
    <filterColumn colId="1" hiddenButton="1"/>
  </autoFilter>
  <tableColumns count="2">
    <tableColumn id="1" xr3:uid="{B0B04F37-6CE5-495E-9523-B535964FFEFA}" name="EXPENSES" dataDxfId="32"/>
    <tableColumn id="2" xr3:uid="{230B9BD9-71C1-48D9-9802-76D710E4D025}" name="Column1" dataDxfId="31"/>
  </tableColumns>
  <tableStyleInfo name="TableStyleLight7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9D4655DA-3D87-4191-BEFA-8DA3B6374A61}" name="Table72" displayName="Table72" ref="C54:D62" totalsRowShown="0" headerRowDxfId="30" headerRowBorderDxfId="29" tableBorderDxfId="28" totalsRowBorderDxfId="27">
  <autoFilter ref="C54:D62" xr:uid="{9D4655DA-3D87-4191-BEFA-8DA3B6374A61}">
    <filterColumn colId="0" hiddenButton="1"/>
    <filterColumn colId="1" hiddenButton="1"/>
  </autoFilter>
  <tableColumns count="2">
    <tableColumn id="1" xr3:uid="{38BC7F10-6507-4168-98E5-B1720A15F0F8}" name="REVENUE" dataDxfId="26"/>
    <tableColumn id="2" xr3:uid="{71FB6A84-CC30-4F6B-BD34-FA72FF67542E}" name="Column1" dataDxfId="25"/>
  </tableColumns>
  <tableStyleInfo name="TableStyleLight7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1D81BB2B-647F-4918-9794-D1598E512E7A}" name="Table73" displayName="Table73" ref="C64:D67" totalsRowShown="0" headerRowDxfId="24" headerRowBorderDxfId="23" tableBorderDxfId="22" totalsRowBorderDxfId="21">
  <autoFilter ref="C64:D67" xr:uid="{1D81BB2B-647F-4918-9794-D1598E512E7A}">
    <filterColumn colId="0" hiddenButton="1"/>
    <filterColumn colId="1" hiddenButton="1"/>
  </autoFilter>
  <tableColumns count="2">
    <tableColumn id="1" xr3:uid="{BA37B8C2-63A2-4EFF-806F-C4A0FFD5E61C}" name="WORKING CAPITAL" dataDxfId="20"/>
    <tableColumn id="2" xr3:uid="{E09C52AE-77D7-4993-84AA-6C89624F4709}" name="Column1" dataDxfId="19"/>
  </tableColumns>
  <tableStyleInfo name="TableStyleLight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9979E2F-3C37-4368-8512-589A17341188}" name="Table4" displayName="Table4" ref="C12:D21" totalsRowShown="0" headerRowBorderDxfId="410" tableBorderDxfId="409" totalsRowBorderDxfId="408">
  <autoFilter ref="C12:D21" xr:uid="{69979E2F-3C37-4368-8512-589A17341188}">
    <filterColumn colId="0" hiddenButton="1"/>
    <filterColumn colId="1" hiddenButton="1"/>
  </autoFilter>
  <tableColumns count="2">
    <tableColumn id="1" xr3:uid="{67ED0EEC-5A92-48B8-890D-A5FFA607EC91}" name="WORKING CAPITAL" dataDxfId="407"/>
    <tableColumn id="2" xr3:uid="{AC32F6C0-ADAD-4452-B4CF-3D4659F2E37F}" name="Column1" dataDxfId="406"/>
  </tableColumns>
  <tableStyleInfo name="TableStyleLight5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449461B-D9DB-43F8-859C-67FE42995571}" name="Table74" displayName="Table74" ref="C70:D74" headerRowCount="0" totalsRowShown="0" headerRowBorderDxfId="18" tableBorderDxfId="17" totalsRowBorderDxfId="16">
  <tableColumns count="2">
    <tableColumn id="1" xr3:uid="{52513404-8D04-48CD-9A4F-7E3B418783BE}" name="Column1" headerRowDxfId="15" dataDxfId="14"/>
    <tableColumn id="2" xr3:uid="{0337A9CC-4E3A-432D-A0BE-5DE45D89DB9B}" name="Column2" headerRowDxfId="13" dataDxfId="12"/>
  </tableColumns>
  <tableStyleInfo name="TableStyleLight7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AC89F161-5E32-4C02-B050-B5AF9666830A}" name="Table78" displayName="Table78" ref="A96:E101" headerRowCount="0" totalsRowShown="0">
  <tableColumns count="5">
    <tableColumn id="1" xr3:uid="{9BE08E5D-7CFB-4077-9FF8-82AD83999509}" name="Column1"/>
    <tableColumn id="2" xr3:uid="{F87F59A1-F0C8-461D-A8E1-3F06594A1739}" name="Column2"/>
    <tableColumn id="3" xr3:uid="{A348A976-6D7B-4FB1-9375-7C64B5760EA2}" name="Column3" dataDxfId="11"/>
    <tableColumn id="4" xr3:uid="{1BA32463-4B95-43FA-B61A-631B360B5045}" name="Column4" dataDxfId="10"/>
    <tableColumn id="5" xr3:uid="{5D2A1F0A-24CE-4D7B-A3CA-EBA0BB6DB449}" name="Column5" dataDxfId="9"/>
  </tableColumns>
  <tableStyleInfo name="TableStyleLight3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7D3E4389-2818-418A-B502-72CA74A6323D}" name="Table79" displayName="Table79" ref="A87:E92" headerRowCount="0" totalsRowShown="0">
  <tableColumns count="5">
    <tableColumn id="1" xr3:uid="{7971E643-9F70-45E5-96DC-6BDD95E22EB4}" name="Column1"/>
    <tableColumn id="2" xr3:uid="{191EB121-470C-4E0F-B87C-DFC586C98977}" name="Column2"/>
    <tableColumn id="3" xr3:uid="{A890EDD1-807B-4C43-818E-9785B5D61DE0}" name="Column3" dataDxfId="8"/>
    <tableColumn id="4" xr3:uid="{513638BB-6AA4-4C15-96E9-438297F5E6B2}" name="Column4" dataDxfId="7"/>
    <tableColumn id="5" xr3:uid="{37F4EB9A-1F04-4AAD-8210-352E3F448744}" name="Column5" dataDxfId="6"/>
  </tableColumns>
  <tableStyleInfo name="TableStyleLight3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AB32CEA0-1CBC-4D44-ACAB-2EB5821F3261}" name="Table80" displayName="Table80" ref="A77:E83" headerRowCount="0" totalsRowShown="0">
  <tableColumns count="5">
    <tableColumn id="1" xr3:uid="{E38FC4B5-0E98-4972-8154-F8EA4414FC0F}" name="Column1"/>
    <tableColumn id="2" xr3:uid="{24B45CD1-26FA-4EC4-AEA4-DEB40F0A1A69}" name="Column2"/>
    <tableColumn id="3" xr3:uid="{EAA75976-3840-40C0-8991-6792C2F208A5}" name="Column3" dataDxfId="5"/>
    <tableColumn id="4" xr3:uid="{02B73CD1-6CEC-493F-B139-01183A1113C5}" name="Column4" dataDxfId="4"/>
    <tableColumn id="5" xr3:uid="{EE1B6553-3CE9-4041-B73C-46609D118192}" name="Column5" dataDxfId="3"/>
  </tableColumns>
  <tableStyleInfo name="TableStyleLight3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95745560-F2FF-400B-922A-AA077F125C79}" name="Table81" displayName="Table81" ref="G78:K95" headerRowCount="0" totalsRowShown="0">
  <tableColumns count="5">
    <tableColumn id="1" xr3:uid="{A2270665-E891-4C09-93F2-6D60B9A51767}" name="Column1"/>
    <tableColumn id="2" xr3:uid="{5E3F80E7-7207-4D0A-A90B-87974A3A52FA}" name="Column2"/>
    <tableColumn id="3" xr3:uid="{0A501B05-194E-4E3F-B5E7-46E0D6361243}" name="Column3" dataDxfId="2"/>
    <tableColumn id="4" xr3:uid="{88322F83-2AF0-467E-BF1D-89E88E82DC76}" name="Column4" dataDxfId="1"/>
    <tableColumn id="5" xr3:uid="{D405D789-1B2E-45A5-8E61-0D56CE7C1622}" name="Column5" dataDxfId="0"/>
  </tableColumns>
  <tableStyleInfo name="TableStyleLight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B76B1F-5A23-4587-9A54-FB2981F73EF2}" name="Table5" displayName="Table5" ref="K2:M17" totalsRowShown="0" tableBorderDxfId="405">
  <autoFilter ref="K2:M17" xr:uid="{DCB76B1F-5A23-4587-9A54-FB2981F73EF2}">
    <filterColumn colId="0" hiddenButton="1"/>
    <filterColumn colId="1" hiddenButton="1"/>
    <filterColumn colId="2" hiddenButton="1"/>
  </autoFilter>
  <tableColumns count="3">
    <tableColumn id="1" xr3:uid="{AB8ACA54-B750-44D8-85F7-597BDBF0CB63}" name="USEFUL VALUES" dataDxfId="404"/>
    <tableColumn id="2" xr3:uid="{3E8EB2A7-A24B-4DF1-A403-77856695BC7E}" name="Column1" dataDxfId="403" dataCellStyle="Comma"/>
    <tableColumn id="3" xr3:uid="{E20D6C66-F67C-48B7-850B-442E06E5D350}" name="Column2" dataDxfId="402"/>
  </tableColumns>
  <tableStyleInfo name="TableStyleLight6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20E1571-C4C2-44DF-8C27-A974BDA0F16E}" name="Table6" displayName="Table6" ref="N2:N113" totalsRowShown="0" headerRowDxfId="401" headerRowBorderDxfId="400" tableBorderDxfId="399" totalsRowBorderDxfId="398">
  <autoFilter ref="N2:N113" xr:uid="{020E1571-C4C2-44DF-8C27-A974BDA0F16E}">
    <filterColumn colId="0" hiddenButton="1"/>
  </autoFilter>
  <tableColumns count="1">
    <tableColumn id="1" xr3:uid="{84934D9F-92F5-4208-94E4-76E1043FC0D3}" name="SHOULD NEW SERVER BE INSTALLED?" dataDxfId="397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5.xml"/><Relationship Id="rId18" Type="http://schemas.openxmlformats.org/officeDocument/2006/relationships/table" Target="../tables/table20.xml"/><Relationship Id="rId26" Type="http://schemas.openxmlformats.org/officeDocument/2006/relationships/table" Target="../tables/table28.xml"/><Relationship Id="rId39" Type="http://schemas.openxmlformats.org/officeDocument/2006/relationships/table" Target="../tables/table41.xml"/><Relationship Id="rId21" Type="http://schemas.openxmlformats.org/officeDocument/2006/relationships/table" Target="../tables/table23.xml"/><Relationship Id="rId34" Type="http://schemas.openxmlformats.org/officeDocument/2006/relationships/table" Target="../tables/table36.xml"/><Relationship Id="rId42" Type="http://schemas.openxmlformats.org/officeDocument/2006/relationships/table" Target="../tables/table44.xml"/><Relationship Id="rId47" Type="http://schemas.openxmlformats.org/officeDocument/2006/relationships/table" Target="../tables/table49.xml"/><Relationship Id="rId50" Type="http://schemas.openxmlformats.org/officeDocument/2006/relationships/table" Target="../tables/table52.xml"/><Relationship Id="rId7" Type="http://schemas.openxmlformats.org/officeDocument/2006/relationships/table" Target="../tables/table9.xml"/><Relationship Id="rId2" Type="http://schemas.openxmlformats.org/officeDocument/2006/relationships/drawing" Target="../drawings/drawing1.xml"/><Relationship Id="rId16" Type="http://schemas.openxmlformats.org/officeDocument/2006/relationships/table" Target="../tables/table18.xml"/><Relationship Id="rId29" Type="http://schemas.openxmlformats.org/officeDocument/2006/relationships/table" Target="../tables/table31.xml"/><Relationship Id="rId11" Type="http://schemas.openxmlformats.org/officeDocument/2006/relationships/table" Target="../tables/table13.xml"/><Relationship Id="rId24" Type="http://schemas.openxmlformats.org/officeDocument/2006/relationships/table" Target="../tables/table26.xml"/><Relationship Id="rId32" Type="http://schemas.openxmlformats.org/officeDocument/2006/relationships/table" Target="../tables/table34.xml"/><Relationship Id="rId37" Type="http://schemas.openxmlformats.org/officeDocument/2006/relationships/table" Target="../tables/table39.xml"/><Relationship Id="rId40" Type="http://schemas.openxmlformats.org/officeDocument/2006/relationships/table" Target="../tables/table42.xml"/><Relationship Id="rId45" Type="http://schemas.openxmlformats.org/officeDocument/2006/relationships/table" Target="../tables/table47.xml"/><Relationship Id="rId5" Type="http://schemas.openxmlformats.org/officeDocument/2006/relationships/table" Target="../tables/table7.xml"/><Relationship Id="rId15" Type="http://schemas.openxmlformats.org/officeDocument/2006/relationships/table" Target="../tables/table17.xml"/><Relationship Id="rId23" Type="http://schemas.openxmlformats.org/officeDocument/2006/relationships/table" Target="../tables/table25.xml"/><Relationship Id="rId28" Type="http://schemas.openxmlformats.org/officeDocument/2006/relationships/table" Target="../tables/table30.xml"/><Relationship Id="rId36" Type="http://schemas.openxmlformats.org/officeDocument/2006/relationships/table" Target="../tables/table38.xml"/><Relationship Id="rId49" Type="http://schemas.openxmlformats.org/officeDocument/2006/relationships/table" Target="../tables/table51.xml"/><Relationship Id="rId10" Type="http://schemas.openxmlformats.org/officeDocument/2006/relationships/table" Target="../tables/table12.xml"/><Relationship Id="rId19" Type="http://schemas.openxmlformats.org/officeDocument/2006/relationships/table" Target="../tables/table21.xml"/><Relationship Id="rId31" Type="http://schemas.openxmlformats.org/officeDocument/2006/relationships/table" Target="../tables/table33.xml"/><Relationship Id="rId44" Type="http://schemas.openxmlformats.org/officeDocument/2006/relationships/table" Target="../tables/table46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Relationship Id="rId14" Type="http://schemas.openxmlformats.org/officeDocument/2006/relationships/table" Target="../tables/table16.xml"/><Relationship Id="rId22" Type="http://schemas.openxmlformats.org/officeDocument/2006/relationships/table" Target="../tables/table24.xml"/><Relationship Id="rId27" Type="http://schemas.openxmlformats.org/officeDocument/2006/relationships/table" Target="../tables/table29.xml"/><Relationship Id="rId30" Type="http://schemas.openxmlformats.org/officeDocument/2006/relationships/table" Target="../tables/table32.xml"/><Relationship Id="rId35" Type="http://schemas.openxmlformats.org/officeDocument/2006/relationships/table" Target="../tables/table37.xml"/><Relationship Id="rId43" Type="http://schemas.openxmlformats.org/officeDocument/2006/relationships/table" Target="../tables/table45.xml"/><Relationship Id="rId48" Type="http://schemas.openxmlformats.org/officeDocument/2006/relationships/table" Target="../tables/table50.xml"/><Relationship Id="rId8" Type="http://schemas.openxmlformats.org/officeDocument/2006/relationships/table" Target="../tables/table10.xml"/><Relationship Id="rId51" Type="http://schemas.openxmlformats.org/officeDocument/2006/relationships/table" Target="../tables/table53.xml"/><Relationship Id="rId3" Type="http://schemas.openxmlformats.org/officeDocument/2006/relationships/table" Target="../tables/table5.xml"/><Relationship Id="rId12" Type="http://schemas.openxmlformats.org/officeDocument/2006/relationships/table" Target="../tables/table14.xml"/><Relationship Id="rId17" Type="http://schemas.openxmlformats.org/officeDocument/2006/relationships/table" Target="../tables/table19.xml"/><Relationship Id="rId25" Type="http://schemas.openxmlformats.org/officeDocument/2006/relationships/table" Target="../tables/table27.xml"/><Relationship Id="rId33" Type="http://schemas.openxmlformats.org/officeDocument/2006/relationships/table" Target="../tables/table35.xml"/><Relationship Id="rId38" Type="http://schemas.openxmlformats.org/officeDocument/2006/relationships/table" Target="../tables/table40.xml"/><Relationship Id="rId46" Type="http://schemas.openxmlformats.org/officeDocument/2006/relationships/table" Target="../tables/table48.xml"/><Relationship Id="rId20" Type="http://schemas.openxmlformats.org/officeDocument/2006/relationships/table" Target="../tables/table22.xml"/><Relationship Id="rId41" Type="http://schemas.openxmlformats.org/officeDocument/2006/relationships/table" Target="../tables/table4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6.xml"/><Relationship Id="rId2" Type="http://schemas.openxmlformats.org/officeDocument/2006/relationships/table" Target="../tables/table55.xml"/><Relationship Id="rId1" Type="http://schemas.openxmlformats.org/officeDocument/2006/relationships/table" Target="../tables/table54.xml"/><Relationship Id="rId4" Type="http://schemas.openxmlformats.org/officeDocument/2006/relationships/table" Target="../tables/table5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4.xml"/><Relationship Id="rId13" Type="http://schemas.openxmlformats.org/officeDocument/2006/relationships/table" Target="../tables/table69.xml"/><Relationship Id="rId18" Type="http://schemas.openxmlformats.org/officeDocument/2006/relationships/table" Target="../tables/table74.xml"/><Relationship Id="rId3" Type="http://schemas.openxmlformats.org/officeDocument/2006/relationships/table" Target="../tables/table59.xml"/><Relationship Id="rId7" Type="http://schemas.openxmlformats.org/officeDocument/2006/relationships/table" Target="../tables/table63.xml"/><Relationship Id="rId12" Type="http://schemas.openxmlformats.org/officeDocument/2006/relationships/table" Target="../tables/table68.xml"/><Relationship Id="rId17" Type="http://schemas.openxmlformats.org/officeDocument/2006/relationships/table" Target="../tables/table73.xml"/><Relationship Id="rId2" Type="http://schemas.openxmlformats.org/officeDocument/2006/relationships/table" Target="../tables/table58.xml"/><Relationship Id="rId16" Type="http://schemas.openxmlformats.org/officeDocument/2006/relationships/table" Target="../tables/table7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62.xml"/><Relationship Id="rId11" Type="http://schemas.openxmlformats.org/officeDocument/2006/relationships/table" Target="../tables/table67.xml"/><Relationship Id="rId5" Type="http://schemas.openxmlformats.org/officeDocument/2006/relationships/table" Target="../tables/table61.xml"/><Relationship Id="rId15" Type="http://schemas.openxmlformats.org/officeDocument/2006/relationships/table" Target="../tables/table71.xml"/><Relationship Id="rId10" Type="http://schemas.openxmlformats.org/officeDocument/2006/relationships/table" Target="../tables/table66.xml"/><Relationship Id="rId4" Type="http://schemas.openxmlformats.org/officeDocument/2006/relationships/table" Target="../tables/table60.xml"/><Relationship Id="rId9" Type="http://schemas.openxmlformats.org/officeDocument/2006/relationships/table" Target="../tables/table65.xml"/><Relationship Id="rId14" Type="http://schemas.openxmlformats.org/officeDocument/2006/relationships/table" Target="../tables/table7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6BE9-BF54-4769-97E3-BF47E357F2FF}">
  <dimension ref="A1:H35"/>
  <sheetViews>
    <sheetView topLeftCell="B1" workbookViewId="0">
      <selection activeCell="C7" sqref="C7"/>
    </sheetView>
  </sheetViews>
  <sheetFormatPr defaultRowHeight="14.5" x14ac:dyDescent="0.35"/>
  <cols>
    <col min="2" max="2" width="29.6328125" customWidth="1"/>
    <col min="3" max="3" width="22.1796875" customWidth="1"/>
    <col min="4" max="4" width="32.7265625" customWidth="1"/>
    <col min="5" max="5" width="22.54296875" customWidth="1"/>
    <col min="6" max="6" width="22.453125" customWidth="1"/>
    <col min="7" max="7" width="23.81640625" customWidth="1"/>
  </cols>
  <sheetData>
    <row r="1" spans="1:8" ht="28.5" x14ac:dyDescent="0.65">
      <c r="A1" s="96" t="s">
        <v>53</v>
      </c>
      <c r="B1" s="96"/>
      <c r="C1" s="96"/>
      <c r="D1" s="96"/>
      <c r="E1" s="96"/>
      <c r="F1" s="96"/>
      <c r="G1" s="96"/>
    </row>
    <row r="2" spans="1:8" x14ac:dyDescent="0.35">
      <c r="A2" s="1"/>
      <c r="B2" s="72" t="s">
        <v>51</v>
      </c>
      <c r="C2" s="73" t="s">
        <v>133</v>
      </c>
      <c r="D2" s="8" t="s">
        <v>52</v>
      </c>
      <c r="E2" s="1"/>
      <c r="F2" s="1"/>
      <c r="G2" s="1"/>
    </row>
    <row r="3" spans="1:8" x14ac:dyDescent="0.35">
      <c r="A3" s="1"/>
      <c r="B3" s="25" t="s">
        <v>0</v>
      </c>
      <c r="C3" s="69">
        <v>150000000</v>
      </c>
      <c r="D3" s="1"/>
      <c r="E3" s="1"/>
      <c r="F3" s="1"/>
      <c r="G3" s="1"/>
    </row>
    <row r="4" spans="1:8" x14ac:dyDescent="0.35">
      <c r="A4" s="1"/>
      <c r="B4" s="25" t="s">
        <v>58</v>
      </c>
      <c r="C4" s="69">
        <v>1000000000</v>
      </c>
      <c r="D4" s="1"/>
      <c r="E4" s="1"/>
      <c r="F4" s="1"/>
      <c r="G4" s="1"/>
    </row>
    <row r="5" spans="1:8" x14ac:dyDescent="0.35">
      <c r="A5" s="1"/>
      <c r="B5" s="25" t="s">
        <v>1</v>
      </c>
      <c r="C5" s="69">
        <v>200000000</v>
      </c>
      <c r="D5" s="1"/>
      <c r="E5" s="1"/>
      <c r="F5" s="1"/>
      <c r="G5" s="1"/>
    </row>
    <row r="6" spans="1:8" x14ac:dyDescent="0.35">
      <c r="A6" s="1"/>
      <c r="B6" s="25" t="s">
        <v>2</v>
      </c>
      <c r="C6" s="69">
        <f>(C4-C5)/10</f>
        <v>80000000</v>
      </c>
      <c r="D6" s="1"/>
      <c r="E6" s="76" t="s">
        <v>133</v>
      </c>
      <c r="F6" s="77" t="s">
        <v>7</v>
      </c>
      <c r="G6" s="78" t="s">
        <v>8</v>
      </c>
    </row>
    <row r="7" spans="1:8" x14ac:dyDescent="0.35">
      <c r="A7" s="1"/>
      <c r="B7" s="25" t="s">
        <v>3</v>
      </c>
      <c r="C7" s="69">
        <v>45000000</v>
      </c>
      <c r="D7" s="1"/>
      <c r="E7" s="25" t="s">
        <v>5</v>
      </c>
      <c r="F7" s="9" t="s">
        <v>9</v>
      </c>
      <c r="G7" s="75" t="s">
        <v>10</v>
      </c>
    </row>
    <row r="8" spans="1:8" x14ac:dyDescent="0.35">
      <c r="A8" s="1"/>
      <c r="B8" s="25" t="s">
        <v>4</v>
      </c>
      <c r="C8" s="69">
        <v>30000000</v>
      </c>
      <c r="D8" s="1"/>
      <c r="E8" s="36" t="s">
        <v>6</v>
      </c>
      <c r="F8" s="79" t="s">
        <v>12</v>
      </c>
      <c r="G8" s="80" t="s">
        <v>11</v>
      </c>
    </row>
    <row r="9" spans="1:8" x14ac:dyDescent="0.35">
      <c r="A9" s="1"/>
      <c r="B9" s="25" t="s">
        <v>13</v>
      </c>
      <c r="C9" s="69"/>
      <c r="D9" s="1"/>
      <c r="E9" s="1"/>
      <c r="F9" s="1"/>
      <c r="G9" s="1"/>
    </row>
    <row r="10" spans="1:8" x14ac:dyDescent="0.35">
      <c r="A10" s="1"/>
      <c r="B10" s="25" t="s">
        <v>14</v>
      </c>
      <c r="C10" s="69">
        <v>100</v>
      </c>
      <c r="D10" s="1" t="s">
        <v>16</v>
      </c>
      <c r="E10" s="1"/>
      <c r="F10" s="1"/>
      <c r="G10" s="1"/>
    </row>
    <row r="11" spans="1:8" x14ac:dyDescent="0.35">
      <c r="A11" s="1"/>
      <c r="B11" s="25" t="s">
        <v>15</v>
      </c>
      <c r="C11" s="69"/>
      <c r="D11" s="1"/>
      <c r="E11" s="1"/>
      <c r="F11" s="1"/>
      <c r="G11" s="1"/>
    </row>
    <row r="12" spans="1:8" x14ac:dyDescent="0.35">
      <c r="A12" s="1"/>
      <c r="B12" s="25" t="s">
        <v>3</v>
      </c>
      <c r="C12" s="69">
        <v>36</v>
      </c>
      <c r="D12" s="1" t="s">
        <v>16</v>
      </c>
      <c r="E12" s="1"/>
      <c r="F12" s="1"/>
      <c r="G12" s="1"/>
    </row>
    <row r="13" spans="1:8" x14ac:dyDescent="0.35">
      <c r="A13" s="1"/>
      <c r="B13" s="25" t="s">
        <v>4</v>
      </c>
      <c r="C13" s="69">
        <v>48</v>
      </c>
      <c r="D13" s="1" t="s">
        <v>16</v>
      </c>
      <c r="E13" s="1"/>
      <c r="F13" s="1"/>
      <c r="G13" s="1"/>
    </row>
    <row r="14" spans="1:8" x14ac:dyDescent="0.35">
      <c r="A14" s="1"/>
      <c r="B14" s="25" t="s">
        <v>17</v>
      </c>
      <c r="C14" s="69">
        <v>5000000</v>
      </c>
      <c r="D14" s="1" t="s">
        <v>48</v>
      </c>
      <c r="E14" s="1"/>
      <c r="F14" s="1"/>
      <c r="G14" s="1"/>
    </row>
    <row r="15" spans="1:8" ht="29" x14ac:dyDescent="0.35">
      <c r="A15" s="1"/>
      <c r="B15" s="25" t="s">
        <v>49</v>
      </c>
      <c r="C15" s="70" t="s">
        <v>50</v>
      </c>
      <c r="D15" s="1"/>
      <c r="E15" s="1"/>
      <c r="F15" s="1"/>
      <c r="G15" s="1"/>
    </row>
    <row r="16" spans="1:8" x14ac:dyDescent="0.35">
      <c r="A16" s="1"/>
      <c r="B16" s="25" t="s">
        <v>18</v>
      </c>
      <c r="C16" s="69"/>
      <c r="D16" s="1"/>
      <c r="E16" s="1"/>
      <c r="F16" s="1"/>
      <c r="G16" s="76" t="s">
        <v>4</v>
      </c>
      <c r="H16" s="78" t="s">
        <v>54</v>
      </c>
    </row>
    <row r="17" spans="1:8" ht="29" x14ac:dyDescent="0.35">
      <c r="A17" s="1"/>
      <c r="B17" s="25" t="s">
        <v>19</v>
      </c>
      <c r="C17" s="69">
        <v>0.65</v>
      </c>
      <c r="D17" s="2" t="s">
        <v>20</v>
      </c>
      <c r="E17" s="1"/>
      <c r="F17" s="1"/>
      <c r="G17" s="25">
        <v>35000000</v>
      </c>
      <c r="H17" s="81">
        <v>0.65</v>
      </c>
    </row>
    <row r="18" spans="1:8" ht="28" customHeight="1" x14ac:dyDescent="0.35">
      <c r="A18" s="1"/>
      <c r="B18" s="68" t="s">
        <v>21</v>
      </c>
      <c r="C18" s="69">
        <f>G18</f>
        <v>538461.5384615385</v>
      </c>
      <c r="D18" s="1"/>
      <c r="E18" s="1"/>
      <c r="F18" s="1"/>
      <c r="G18" s="82">
        <f>G17/65</f>
        <v>538461.5384615385</v>
      </c>
      <c r="H18" s="83">
        <v>0.01</v>
      </c>
    </row>
    <row r="19" spans="1:8" x14ac:dyDescent="0.35">
      <c r="A19" s="1"/>
      <c r="B19" s="25" t="s">
        <v>22</v>
      </c>
      <c r="C19" s="69">
        <f>C18*100</f>
        <v>53846153.846153848</v>
      </c>
      <c r="D19" s="1"/>
      <c r="E19" s="1"/>
      <c r="F19" s="1"/>
      <c r="G19" s="1"/>
    </row>
    <row r="20" spans="1:8" x14ac:dyDescent="0.35">
      <c r="A20" s="1"/>
      <c r="B20" s="25" t="s">
        <v>23</v>
      </c>
      <c r="C20" s="71">
        <v>600000000</v>
      </c>
      <c r="D20" s="1" t="s">
        <v>24</v>
      </c>
      <c r="E20" s="1"/>
      <c r="F20" s="1"/>
      <c r="G20" s="1"/>
    </row>
    <row r="21" spans="1:8" x14ac:dyDescent="0.35">
      <c r="A21" s="1"/>
      <c r="B21" s="25" t="s">
        <v>25</v>
      </c>
      <c r="C21" s="69">
        <v>400000000</v>
      </c>
      <c r="D21" s="1" t="s">
        <v>55</v>
      </c>
      <c r="E21" s="1"/>
      <c r="F21" s="1"/>
      <c r="G21" s="1"/>
    </row>
    <row r="22" spans="1:8" x14ac:dyDescent="0.35">
      <c r="A22" s="1"/>
      <c r="B22" s="25" t="s">
        <v>56</v>
      </c>
      <c r="C22" s="69">
        <v>40000000</v>
      </c>
      <c r="D22" s="1" t="s">
        <v>57</v>
      </c>
      <c r="E22" s="1"/>
      <c r="F22" s="1"/>
      <c r="G22" s="1"/>
    </row>
    <row r="23" spans="1:8" x14ac:dyDescent="0.35">
      <c r="A23" s="1"/>
      <c r="B23" s="25"/>
      <c r="C23" s="69"/>
      <c r="D23" s="1"/>
      <c r="G23" s="1"/>
    </row>
    <row r="24" spans="1:8" x14ac:dyDescent="0.35">
      <c r="A24" s="1"/>
      <c r="B24" s="25" t="s">
        <v>26</v>
      </c>
      <c r="C24" s="69">
        <v>500000000</v>
      </c>
      <c r="D24" s="1"/>
      <c r="E24" s="25" t="s">
        <v>27</v>
      </c>
      <c r="F24" s="75" t="s">
        <v>28</v>
      </c>
      <c r="G24" s="1"/>
    </row>
    <row r="25" spans="1:8" x14ac:dyDescent="0.35">
      <c r="A25" s="1"/>
      <c r="B25" s="25" t="s">
        <v>31</v>
      </c>
      <c r="C25" s="69"/>
      <c r="D25" s="1" t="s">
        <v>38</v>
      </c>
      <c r="E25" s="36" t="s">
        <v>29</v>
      </c>
      <c r="F25" s="80" t="s">
        <v>30</v>
      </c>
      <c r="G25" s="1"/>
    </row>
    <row r="26" spans="1:8" x14ac:dyDescent="0.35">
      <c r="A26" s="1"/>
      <c r="B26" s="25" t="s">
        <v>32</v>
      </c>
      <c r="C26" s="69" t="s">
        <v>33</v>
      </c>
      <c r="D26" s="1"/>
      <c r="E26" s="1"/>
      <c r="F26" s="1"/>
      <c r="G26" s="1"/>
    </row>
    <row r="27" spans="1:8" x14ac:dyDescent="0.35">
      <c r="A27" s="1"/>
      <c r="B27" s="25" t="s">
        <v>35</v>
      </c>
      <c r="C27" s="69" t="s">
        <v>34</v>
      </c>
      <c r="D27" s="1"/>
      <c r="E27" s="1"/>
      <c r="F27" s="1"/>
      <c r="G27" s="1"/>
    </row>
    <row r="28" spans="1:8" x14ac:dyDescent="0.35">
      <c r="A28" s="1"/>
      <c r="B28" s="25" t="s">
        <v>36</v>
      </c>
      <c r="C28" s="69" t="s">
        <v>37</v>
      </c>
      <c r="D28" s="1"/>
      <c r="E28" s="1"/>
      <c r="F28" s="1"/>
      <c r="G28" s="1"/>
    </row>
    <row r="29" spans="1:8" x14ac:dyDescent="0.35">
      <c r="A29" s="1"/>
      <c r="B29" s="25" t="s">
        <v>39</v>
      </c>
      <c r="C29" s="69">
        <v>30000000</v>
      </c>
      <c r="D29" s="1" t="s">
        <v>40</v>
      </c>
      <c r="E29" s="1" t="s">
        <v>41</v>
      </c>
      <c r="F29" s="1"/>
      <c r="G29" s="1"/>
    </row>
    <row r="30" spans="1:8" x14ac:dyDescent="0.35">
      <c r="A30" s="1"/>
      <c r="B30" s="25" t="s">
        <v>42</v>
      </c>
      <c r="C30" s="69">
        <f>87.5*251430000</f>
        <v>22000125000</v>
      </c>
      <c r="D30" s="1"/>
      <c r="E30" s="1"/>
      <c r="F30" s="1"/>
      <c r="G30" s="1"/>
    </row>
    <row r="31" spans="1:8" x14ac:dyDescent="0.35">
      <c r="A31" s="1"/>
      <c r="B31" s="25" t="s">
        <v>43</v>
      </c>
      <c r="C31" s="69">
        <v>2432000000</v>
      </c>
      <c r="D31" s="1"/>
      <c r="E31" s="1"/>
      <c r="F31" s="1"/>
      <c r="G31" s="1"/>
    </row>
    <row r="32" spans="1:8" x14ac:dyDescent="0.35">
      <c r="A32" s="1"/>
      <c r="B32" s="25" t="s">
        <v>44</v>
      </c>
      <c r="C32" s="69">
        <v>0.1</v>
      </c>
      <c r="D32" s="1"/>
      <c r="E32" s="1"/>
      <c r="F32" s="1"/>
      <c r="G32" s="1"/>
    </row>
    <row r="33" spans="1:7" x14ac:dyDescent="0.35">
      <c r="A33" s="1"/>
      <c r="B33" s="25" t="s">
        <v>45</v>
      </c>
      <c r="C33" s="69">
        <v>0.02</v>
      </c>
      <c r="D33" s="1"/>
      <c r="E33" s="1"/>
      <c r="F33" s="1"/>
      <c r="G33" s="1"/>
    </row>
    <row r="34" spans="1:7" x14ac:dyDescent="0.35">
      <c r="A34" s="1"/>
      <c r="B34" s="25" t="s">
        <v>46</v>
      </c>
      <c r="C34" s="69">
        <v>1.4999999999999999E-2</v>
      </c>
      <c r="D34" s="1"/>
      <c r="E34" s="1"/>
      <c r="F34" s="1"/>
      <c r="G34" s="1"/>
    </row>
    <row r="35" spans="1:7" x14ac:dyDescent="0.35">
      <c r="A35" s="1"/>
      <c r="B35" s="36" t="s">
        <v>47</v>
      </c>
      <c r="C35" s="74">
        <v>0.11</v>
      </c>
      <c r="D35" s="1"/>
      <c r="E35" s="1"/>
      <c r="F35" s="1"/>
      <c r="G35" s="1"/>
    </row>
  </sheetData>
  <mergeCells count="1">
    <mergeCell ref="A1:G1"/>
  </mergeCell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A05BF-B0F8-4497-A446-0637E1A37E2B}">
  <dimension ref="A1:N212"/>
  <sheetViews>
    <sheetView topLeftCell="B196" zoomScale="90" zoomScaleNormal="90" workbookViewId="0">
      <selection activeCell="F198" sqref="F198"/>
    </sheetView>
  </sheetViews>
  <sheetFormatPr defaultRowHeight="14.5" x14ac:dyDescent="0.35"/>
  <cols>
    <col min="2" max="2" width="12.1796875" customWidth="1"/>
    <col min="3" max="3" width="38.1796875" customWidth="1"/>
    <col min="4" max="4" width="19.81640625" customWidth="1"/>
    <col min="6" max="6" width="16.26953125" customWidth="1"/>
    <col min="7" max="7" width="19.90625" customWidth="1"/>
    <col min="8" max="8" width="15.81640625" customWidth="1"/>
    <col min="9" max="9" width="19.90625" customWidth="1"/>
    <col min="11" max="11" width="39.81640625" customWidth="1"/>
    <col min="12" max="12" width="26.90625" customWidth="1"/>
    <col min="13" max="13" width="13.90625" customWidth="1"/>
    <col min="14" max="14" width="32.54296875" customWidth="1"/>
  </cols>
  <sheetData>
    <row r="1" spans="1:14" ht="15" customHeight="1" x14ac:dyDescent="0.35">
      <c r="A1" t="s">
        <v>112</v>
      </c>
      <c r="B1" t="s">
        <v>113</v>
      </c>
      <c r="L1" s="14"/>
    </row>
    <row r="2" spans="1:14" ht="32.5" customHeight="1" x14ac:dyDescent="0.35">
      <c r="A2">
        <v>0</v>
      </c>
      <c r="B2" t="s">
        <v>83</v>
      </c>
      <c r="K2" s="7" t="s">
        <v>111</v>
      </c>
      <c r="L2" s="14" t="s">
        <v>133</v>
      </c>
      <c r="M2" t="s">
        <v>134</v>
      </c>
      <c r="N2" s="43" t="s">
        <v>110</v>
      </c>
    </row>
    <row r="3" spans="1:14" x14ac:dyDescent="0.35">
      <c r="C3" s="29" t="s">
        <v>70</v>
      </c>
      <c r="D3" s="30" t="s">
        <v>133</v>
      </c>
      <c r="F3" s="29" t="s">
        <v>72</v>
      </c>
      <c r="G3" s="30" t="s">
        <v>133</v>
      </c>
      <c r="K3" s="3"/>
      <c r="L3" s="16"/>
      <c r="M3" s="3" t="s">
        <v>87</v>
      </c>
      <c r="N3" s="40"/>
    </row>
    <row r="4" spans="1:14" x14ac:dyDescent="0.35">
      <c r="C4" s="25" t="s">
        <v>59</v>
      </c>
      <c r="D4" s="28">
        <f>100*(USSRPAR+INTERPARC)</f>
        <v>7500000000</v>
      </c>
      <c r="E4" s="1"/>
      <c r="F4" s="25" t="s">
        <v>73</v>
      </c>
      <c r="G4" s="28">
        <v>150000000</v>
      </c>
      <c r="H4" s="12"/>
      <c r="I4" s="12"/>
      <c r="K4" s="3" t="s">
        <v>61</v>
      </c>
      <c r="L4" s="16">
        <f>SUMMARY!C7</f>
        <v>45000000</v>
      </c>
      <c r="M4" s="6">
        <v>0.05</v>
      </c>
      <c r="N4" s="40"/>
    </row>
    <row r="5" spans="1:14" x14ac:dyDescent="0.35">
      <c r="C5" s="25" t="s">
        <v>65</v>
      </c>
      <c r="D5" s="28">
        <f>50*NEWPAR</f>
        <v>250000000</v>
      </c>
      <c r="E5" s="1"/>
      <c r="F5" s="25" t="s">
        <v>74</v>
      </c>
      <c r="G5" s="28">
        <v>1000000000</v>
      </c>
      <c r="H5" s="12"/>
      <c r="I5" s="12"/>
      <c r="K5" s="3" t="s">
        <v>62</v>
      </c>
      <c r="L5" s="16">
        <f>SUMMARY!C8</f>
        <v>30000000</v>
      </c>
      <c r="M5" s="6">
        <v>0.1</v>
      </c>
      <c r="N5" s="40"/>
    </row>
    <row r="6" spans="1:14" x14ac:dyDescent="0.35">
      <c r="C6" s="26" t="s">
        <v>60</v>
      </c>
      <c r="D6" s="28"/>
      <c r="E6" s="1"/>
      <c r="F6" s="25" t="s">
        <v>75</v>
      </c>
      <c r="G6" s="28">
        <v>400000000</v>
      </c>
      <c r="H6" s="12"/>
      <c r="I6" s="12"/>
      <c r="K6" s="3" t="s">
        <v>59</v>
      </c>
      <c r="L6" s="16">
        <f>SUMMARY!C10</f>
        <v>100</v>
      </c>
      <c r="M6" s="3"/>
      <c r="N6" s="40"/>
    </row>
    <row r="7" spans="1:14" x14ac:dyDescent="0.35">
      <c r="C7" s="25" t="s">
        <v>61</v>
      </c>
      <c r="D7" s="28">
        <f>USSC*USSRPAR</f>
        <v>1620000000</v>
      </c>
      <c r="E7" s="1"/>
      <c r="F7" s="25" t="s">
        <v>76</v>
      </c>
      <c r="G7" s="28">
        <v>500000000</v>
      </c>
      <c r="H7" s="12"/>
      <c r="I7" s="12"/>
      <c r="K7" s="97" t="s">
        <v>88</v>
      </c>
      <c r="L7" s="16"/>
      <c r="M7" s="3"/>
      <c r="N7" s="40"/>
    </row>
    <row r="8" spans="1:14" x14ac:dyDescent="0.35">
      <c r="C8" s="25" t="s">
        <v>62</v>
      </c>
      <c r="D8" s="28">
        <f>INTERSC*INTERPARC</f>
        <v>1440000000</v>
      </c>
      <c r="E8" s="1"/>
      <c r="F8" s="25" t="s">
        <v>114</v>
      </c>
      <c r="G8" s="28">
        <f>SUMMARY!C6</f>
        <v>80000000</v>
      </c>
      <c r="H8" s="12"/>
      <c r="I8" s="12"/>
      <c r="K8" s="3" t="s">
        <v>61</v>
      </c>
      <c r="L8" s="16">
        <f>SUMMARY!C12</f>
        <v>36</v>
      </c>
      <c r="M8" s="3"/>
      <c r="N8" s="40"/>
    </row>
    <row r="9" spans="1:14" x14ac:dyDescent="0.35">
      <c r="C9" s="25" t="s">
        <v>66</v>
      </c>
      <c r="D9" s="28">
        <f>0.6*INTERSC*NEWPAR</f>
        <v>144000000</v>
      </c>
      <c r="E9" s="1"/>
      <c r="F9" s="25"/>
      <c r="G9" s="28"/>
      <c r="H9" s="12"/>
      <c r="I9" s="12"/>
      <c r="K9" s="3" t="s">
        <v>62</v>
      </c>
      <c r="L9" s="16">
        <f>SUMMARY!C13</f>
        <v>48</v>
      </c>
      <c r="M9" s="3"/>
      <c r="N9" s="40"/>
    </row>
    <row r="10" spans="1:14" x14ac:dyDescent="0.35">
      <c r="C10" s="31" t="s">
        <v>71</v>
      </c>
      <c r="D10" s="32">
        <f>SUM(D4:D9)</f>
        <v>10954000000</v>
      </c>
      <c r="E10" s="1"/>
      <c r="F10" s="31" t="s">
        <v>77</v>
      </c>
      <c r="G10" s="32">
        <f>SUM(G4:G8)</f>
        <v>2130000000</v>
      </c>
      <c r="H10" s="12"/>
      <c r="I10" s="12"/>
      <c r="K10" s="3" t="s">
        <v>66</v>
      </c>
      <c r="L10" s="16">
        <v>5000000</v>
      </c>
      <c r="M10" s="6">
        <v>0.08</v>
      </c>
      <c r="N10" s="40"/>
    </row>
    <row r="11" spans="1:14" x14ac:dyDescent="0.35">
      <c r="C11" s="11"/>
      <c r="D11" s="12"/>
      <c r="E11" s="1"/>
      <c r="F11" s="11"/>
      <c r="G11" s="12"/>
      <c r="H11" s="12"/>
      <c r="I11" s="12"/>
      <c r="K11" s="3" t="s">
        <v>89</v>
      </c>
      <c r="L11" s="16" t="s">
        <v>109</v>
      </c>
      <c r="M11" s="3"/>
      <c r="N11" s="40"/>
    </row>
    <row r="12" spans="1:14" x14ac:dyDescent="0.35">
      <c r="C12" s="29" t="s">
        <v>84</v>
      </c>
      <c r="D12" s="35" t="s">
        <v>133</v>
      </c>
      <c r="E12" s="1"/>
      <c r="F12" s="1"/>
      <c r="G12" s="10"/>
      <c r="H12" s="10"/>
      <c r="I12" s="10"/>
      <c r="K12" s="3" t="s">
        <v>90</v>
      </c>
      <c r="L12" s="16">
        <v>600000000</v>
      </c>
      <c r="M12" s="3"/>
      <c r="N12" s="40"/>
    </row>
    <row r="13" spans="1:14" ht="29" x14ac:dyDescent="0.35">
      <c r="C13" s="25" t="s">
        <v>78</v>
      </c>
      <c r="D13" s="28">
        <f>0.05*D10</f>
        <v>547700000</v>
      </c>
      <c r="E13" s="1"/>
      <c r="F13" s="1"/>
      <c r="G13" s="1"/>
      <c r="H13" s="1"/>
      <c r="I13" s="1"/>
      <c r="K13" s="15" t="s">
        <v>91</v>
      </c>
      <c r="L13" s="16">
        <f>SUMMARY!C19</f>
        <v>53846153.846153848</v>
      </c>
      <c r="M13" s="3"/>
      <c r="N13" s="40"/>
    </row>
    <row r="14" spans="1:14" x14ac:dyDescent="0.35">
      <c r="C14" s="25" t="s">
        <v>79</v>
      </c>
      <c r="D14" s="28">
        <f>0.1*D10</f>
        <v>1095400000</v>
      </c>
      <c r="E14" s="1"/>
      <c r="F14" s="1"/>
      <c r="G14" s="1"/>
      <c r="H14" s="1"/>
      <c r="I14" s="1"/>
      <c r="K14" s="3" t="s">
        <v>63</v>
      </c>
      <c r="L14" s="16">
        <v>400000000</v>
      </c>
      <c r="M14" s="6">
        <v>0.05</v>
      </c>
      <c r="N14" s="40"/>
    </row>
    <row r="15" spans="1:14" x14ac:dyDescent="0.35">
      <c r="C15" s="25" t="s">
        <v>80</v>
      </c>
      <c r="D15" s="28">
        <f>0.06*D10</f>
        <v>657240000</v>
      </c>
      <c r="E15" s="1"/>
      <c r="F15" s="1"/>
      <c r="G15" s="1"/>
      <c r="H15" s="1"/>
      <c r="I15" s="1"/>
      <c r="K15" s="3" t="s">
        <v>92</v>
      </c>
      <c r="L15" s="16">
        <v>40000000</v>
      </c>
      <c r="M15" s="6">
        <v>0.1</v>
      </c>
      <c r="N15" s="40"/>
    </row>
    <row r="16" spans="1:14" x14ac:dyDescent="0.35">
      <c r="C16" s="25"/>
      <c r="D16" s="28"/>
      <c r="E16" s="1"/>
      <c r="F16" s="1"/>
      <c r="G16" s="1"/>
      <c r="H16" s="1"/>
      <c r="I16" s="1"/>
      <c r="K16" s="3" t="s">
        <v>64</v>
      </c>
      <c r="L16" s="16">
        <v>500000000</v>
      </c>
      <c r="M16" s="6">
        <v>0.15</v>
      </c>
      <c r="N16" s="40"/>
    </row>
    <row r="17" spans="1:14" ht="21" x14ac:dyDescent="0.5">
      <c r="C17" s="25" t="s">
        <v>85</v>
      </c>
      <c r="D17" s="28">
        <f>D10-G10</f>
        <v>8824000000</v>
      </c>
      <c r="E17" s="1"/>
      <c r="F17" s="1"/>
      <c r="G17" s="1"/>
      <c r="H17" s="1"/>
      <c r="I17" s="1"/>
      <c r="K17" s="38" t="s">
        <v>93</v>
      </c>
      <c r="L17" s="39">
        <v>1.4999999999999999E-2</v>
      </c>
      <c r="M17" s="38"/>
      <c r="N17" s="40"/>
    </row>
    <row r="18" spans="1:14" x14ac:dyDescent="0.35">
      <c r="C18" s="25" t="s">
        <v>69</v>
      </c>
      <c r="D18" s="28">
        <f>0.02*SUMMARY!C31</f>
        <v>48640000</v>
      </c>
      <c r="E18" s="1"/>
      <c r="F18" s="1"/>
      <c r="G18" s="1"/>
      <c r="H18" s="1"/>
      <c r="I18" s="1"/>
      <c r="L18" s="14"/>
      <c r="N18" s="27"/>
    </row>
    <row r="19" spans="1:14" x14ac:dyDescent="0.35">
      <c r="C19" s="25" t="s">
        <v>67</v>
      </c>
      <c r="D19" s="28">
        <f>D17-D18</f>
        <v>8775360000</v>
      </c>
      <c r="E19" s="1"/>
      <c r="F19" s="1"/>
      <c r="G19" s="1"/>
      <c r="H19" s="1"/>
      <c r="I19" s="1"/>
      <c r="L19" s="14"/>
      <c r="N19" s="27"/>
    </row>
    <row r="20" spans="1:14" x14ac:dyDescent="0.35">
      <c r="C20" s="25" t="s">
        <v>68</v>
      </c>
      <c r="D20" s="28">
        <f>0.1*D19</f>
        <v>877536000</v>
      </c>
      <c r="E20" s="1"/>
      <c r="F20" s="1"/>
      <c r="G20" s="1"/>
      <c r="H20" s="1"/>
      <c r="I20" s="1"/>
      <c r="L20" s="14"/>
      <c r="N20" s="27"/>
    </row>
    <row r="21" spans="1:14" x14ac:dyDescent="0.35">
      <c r="C21" s="36" t="s">
        <v>82</v>
      </c>
      <c r="D21" s="48">
        <f>D19-D20</f>
        <v>7897824000</v>
      </c>
      <c r="E21" s="1"/>
      <c r="F21" s="1"/>
      <c r="G21" s="1"/>
      <c r="H21" s="1"/>
      <c r="I21" s="1"/>
      <c r="L21" s="14"/>
      <c r="N21" s="27"/>
    </row>
    <row r="22" spans="1:14" x14ac:dyDescent="0.35">
      <c r="L22" s="14"/>
      <c r="N22" s="27"/>
    </row>
    <row r="23" spans="1:14" x14ac:dyDescent="0.35">
      <c r="A23">
        <v>1</v>
      </c>
      <c r="B23" t="s">
        <v>86</v>
      </c>
      <c r="L23" s="14"/>
      <c r="N23" s="27"/>
    </row>
    <row r="24" spans="1:14" x14ac:dyDescent="0.35">
      <c r="C24" s="53" t="s">
        <v>70</v>
      </c>
      <c r="D24" s="30" t="s">
        <v>133</v>
      </c>
      <c r="F24" s="56" t="s">
        <v>72</v>
      </c>
      <c r="G24" s="30" t="s">
        <v>133</v>
      </c>
      <c r="H24" s="17"/>
      <c r="I24" s="17"/>
      <c r="K24" s="34" t="s">
        <v>61</v>
      </c>
      <c r="L24" s="46" t="s">
        <v>135</v>
      </c>
      <c r="N24" s="27"/>
    </row>
    <row r="25" spans="1:14" x14ac:dyDescent="0.35">
      <c r="C25" s="50" t="s">
        <v>59</v>
      </c>
      <c r="D25" s="52">
        <f>L26*(L24+L25)</f>
        <v>8145374999.999999</v>
      </c>
      <c r="F25" s="25" t="s">
        <v>75</v>
      </c>
      <c r="G25" s="52">
        <f>((1+GAGR)^A23)*GAEXP</f>
        <v>420000000</v>
      </c>
      <c r="H25" s="18"/>
      <c r="I25" s="18"/>
      <c r="K25" s="37" t="s">
        <v>62</v>
      </c>
      <c r="L25" s="45">
        <f>((1+INTERGR)^A23)*$L$5</f>
        <v>33000000.000000004</v>
      </c>
      <c r="N25" s="27"/>
    </row>
    <row r="26" spans="1:14" x14ac:dyDescent="0.35">
      <c r="C26" s="50" t="s">
        <v>65</v>
      </c>
      <c r="D26" s="52">
        <f>L27*L28</f>
        <v>274049999.99999994</v>
      </c>
      <c r="F26" s="25" t="s">
        <v>100</v>
      </c>
      <c r="G26" s="52">
        <f>GAEXP2ND</f>
        <v>40000000</v>
      </c>
      <c r="H26" s="18"/>
      <c r="I26" s="18"/>
      <c r="K26" s="37" t="s">
        <v>94</v>
      </c>
      <c r="L26" s="45">
        <f>100*(1+INFL)^A23</f>
        <v>101.49999999999999</v>
      </c>
      <c r="N26" s="27"/>
    </row>
    <row r="27" spans="1:14" x14ac:dyDescent="0.35">
      <c r="C27" s="51" t="s">
        <v>95</v>
      </c>
      <c r="D27" s="52"/>
      <c r="F27" s="25" t="s">
        <v>76</v>
      </c>
      <c r="G27" s="52">
        <f>((1+ADVEXPR)^A23)*ADVEXP</f>
        <v>575000000</v>
      </c>
      <c r="H27" s="18"/>
      <c r="I27" s="18"/>
      <c r="K27" s="37" t="s">
        <v>66</v>
      </c>
      <c r="L27" s="45">
        <f>NEWPAR*(1+NEWPARGR)^A23</f>
        <v>5400000</v>
      </c>
      <c r="N27" s="27"/>
    </row>
    <row r="28" spans="1:14" ht="29" customHeight="1" x14ac:dyDescent="0.35">
      <c r="C28" s="50" t="s">
        <v>61</v>
      </c>
      <c r="D28" s="52">
        <f>L24*L30</f>
        <v>1726515000</v>
      </c>
      <c r="F28" s="25" t="s">
        <v>114</v>
      </c>
      <c r="G28" s="52">
        <f>SUMMARY!$C$6</f>
        <v>80000000</v>
      </c>
      <c r="H28" s="18"/>
      <c r="I28" s="18"/>
      <c r="K28" s="37" t="s">
        <v>89</v>
      </c>
      <c r="L28" s="45">
        <f>L26/2</f>
        <v>50.749999999999993</v>
      </c>
      <c r="N28" s="27"/>
    </row>
    <row r="29" spans="1:14" x14ac:dyDescent="0.35">
      <c r="C29" s="50" t="s">
        <v>62</v>
      </c>
      <c r="D29" s="52">
        <f>L25*L31</f>
        <v>1607760000.0000002</v>
      </c>
      <c r="F29" s="25"/>
      <c r="G29" s="52"/>
      <c r="H29" s="18"/>
      <c r="I29" s="18"/>
      <c r="K29" s="37" t="s">
        <v>96</v>
      </c>
      <c r="L29" s="45">
        <f>L25+L27</f>
        <v>38400000</v>
      </c>
      <c r="N29" s="41" t="b">
        <f>IF(L29&gt;$L$13,"yes")</f>
        <v>0</v>
      </c>
    </row>
    <row r="30" spans="1:14" x14ac:dyDescent="0.35">
      <c r="C30" s="50" t="s">
        <v>66</v>
      </c>
      <c r="D30" s="52">
        <f>L27*L32</f>
        <v>157852800</v>
      </c>
      <c r="F30" s="25"/>
      <c r="G30" s="52"/>
      <c r="H30" s="18"/>
      <c r="I30" s="18"/>
      <c r="K30" s="37" t="s">
        <v>97</v>
      </c>
      <c r="L30" s="45">
        <f>((1+INFL)^A23)*USSC</f>
        <v>36.54</v>
      </c>
      <c r="N30" s="27"/>
    </row>
    <row r="31" spans="1:14" ht="29" customHeight="1" x14ac:dyDescent="0.35">
      <c r="C31" s="54" t="s">
        <v>71</v>
      </c>
      <c r="D31" s="55">
        <f>SUM(D25:D30)</f>
        <v>11911552800</v>
      </c>
      <c r="F31" s="31" t="s">
        <v>77</v>
      </c>
      <c r="G31" s="55">
        <f>SUM(G25:G28)</f>
        <v>1115000000</v>
      </c>
      <c r="H31" s="18"/>
      <c r="I31" s="18"/>
      <c r="K31" s="37" t="s">
        <v>98</v>
      </c>
      <c r="L31" s="45">
        <f>((1+INFL)^A23)*INTERSC</f>
        <v>48.72</v>
      </c>
      <c r="N31" s="27"/>
    </row>
    <row r="32" spans="1:14" x14ac:dyDescent="0.35">
      <c r="H32" t="s">
        <v>138</v>
      </c>
      <c r="K32" s="33" t="s">
        <v>99</v>
      </c>
      <c r="L32" s="47">
        <f>0.6*L31</f>
        <v>29.231999999999999</v>
      </c>
      <c r="N32" s="27"/>
    </row>
    <row r="33" spans="1:14" x14ac:dyDescent="0.35">
      <c r="C33" s="57" t="s">
        <v>84</v>
      </c>
      <c r="D33" s="58" t="s">
        <v>133</v>
      </c>
      <c r="L33" s="14"/>
      <c r="N33" s="27"/>
    </row>
    <row r="34" spans="1:14" x14ac:dyDescent="0.35">
      <c r="C34" s="13" t="s">
        <v>78</v>
      </c>
      <c r="D34" s="4">
        <f>0.05*D31</f>
        <v>595577640</v>
      </c>
      <c r="L34" s="14"/>
      <c r="N34" s="27"/>
    </row>
    <row r="35" spans="1:14" x14ac:dyDescent="0.35">
      <c r="C35" s="13" t="s">
        <v>79</v>
      </c>
      <c r="D35" s="4">
        <f>0.1*D31</f>
        <v>1191155280</v>
      </c>
      <c r="L35" s="14"/>
      <c r="N35" s="27"/>
    </row>
    <row r="36" spans="1:14" x14ac:dyDescent="0.35">
      <c r="C36" s="13" t="s">
        <v>80</v>
      </c>
      <c r="D36" s="4">
        <f>0.06*D31</f>
        <v>714693168</v>
      </c>
      <c r="L36" s="14"/>
      <c r="N36" s="27"/>
    </row>
    <row r="37" spans="1:14" x14ac:dyDescent="0.35">
      <c r="L37" s="14"/>
      <c r="N37" s="27"/>
    </row>
    <row r="38" spans="1:14" x14ac:dyDescent="0.35">
      <c r="C38" s="13" t="s">
        <v>81</v>
      </c>
      <c r="D38" s="4">
        <f>D31-G31</f>
        <v>10796552800</v>
      </c>
      <c r="L38" s="14"/>
      <c r="N38" s="27"/>
    </row>
    <row r="39" spans="1:14" x14ac:dyDescent="0.35">
      <c r="C39" s="13" t="s">
        <v>69</v>
      </c>
      <c r="D39" s="4">
        <f>D18</f>
        <v>48640000</v>
      </c>
      <c r="L39" s="14"/>
      <c r="N39" s="27"/>
    </row>
    <row r="40" spans="1:14" x14ac:dyDescent="0.35">
      <c r="C40" s="13" t="s">
        <v>67</v>
      </c>
      <c r="D40" s="4">
        <f>D38-D39</f>
        <v>10747912800</v>
      </c>
      <c r="L40" s="14"/>
      <c r="N40" s="27"/>
    </row>
    <row r="41" spans="1:14" x14ac:dyDescent="0.35">
      <c r="C41" s="13" t="s">
        <v>68</v>
      </c>
      <c r="D41" s="4">
        <f>0.1*D40</f>
        <v>1074791280</v>
      </c>
      <c r="L41" s="14"/>
      <c r="N41" s="27"/>
    </row>
    <row r="42" spans="1:14" x14ac:dyDescent="0.35">
      <c r="C42" s="59" t="s">
        <v>82</v>
      </c>
      <c r="D42" s="60">
        <f>D40-D41</f>
        <v>9673121520</v>
      </c>
      <c r="L42" s="14"/>
      <c r="N42" s="27"/>
    </row>
    <row r="43" spans="1:14" x14ac:dyDescent="0.35">
      <c r="L43" s="14"/>
      <c r="N43" s="27"/>
    </row>
    <row r="44" spans="1:14" x14ac:dyDescent="0.35">
      <c r="A44">
        <v>2</v>
      </c>
      <c r="B44" t="s">
        <v>101</v>
      </c>
      <c r="L44" s="14"/>
      <c r="N44" s="27"/>
    </row>
    <row r="45" spans="1:14" ht="16" x14ac:dyDescent="0.5">
      <c r="C45" s="53" t="s">
        <v>70</v>
      </c>
      <c r="D45" s="30" t="s">
        <v>133</v>
      </c>
      <c r="F45" s="62" t="s">
        <v>72</v>
      </c>
      <c r="G45" s="35" t="s">
        <v>133</v>
      </c>
      <c r="H45" s="12"/>
      <c r="I45" s="12"/>
      <c r="N45" s="27"/>
    </row>
    <row r="46" spans="1:14" x14ac:dyDescent="0.35">
      <c r="C46" s="50" t="s">
        <v>59</v>
      </c>
      <c r="D46" s="52">
        <f>L48*(L46+L47)</f>
        <v>8850920531.2499981</v>
      </c>
      <c r="F46" s="61" t="s">
        <v>75</v>
      </c>
      <c r="G46" s="28">
        <f>((1+GAGR)^A44)*GAEXP</f>
        <v>441000000</v>
      </c>
      <c r="H46" s="12"/>
      <c r="I46" s="12"/>
      <c r="K46" s="37" t="s">
        <v>61</v>
      </c>
      <c r="L46" s="45">
        <f>((1+USRUSGR)^A44)*$L$4</f>
        <v>49612500</v>
      </c>
      <c r="N46" s="27"/>
    </row>
    <row r="47" spans="1:14" x14ac:dyDescent="0.35">
      <c r="C47" s="50" t="s">
        <v>65</v>
      </c>
      <c r="D47" s="52">
        <f>L49*L50</f>
        <v>300413610</v>
      </c>
      <c r="F47" s="61" t="s">
        <v>100</v>
      </c>
      <c r="G47" s="28">
        <f>GAEXP2ND*((1+GA2NDGR)^(A44-1))</f>
        <v>44000000</v>
      </c>
      <c r="H47" s="12"/>
      <c r="I47" s="12"/>
      <c r="K47" s="37" t="s">
        <v>62</v>
      </c>
      <c r="L47" s="45">
        <f>((1+INTERGR)^A44)*$L$5</f>
        <v>36300000.000000007</v>
      </c>
      <c r="N47" s="27"/>
    </row>
    <row r="48" spans="1:14" x14ac:dyDescent="0.35">
      <c r="C48" s="51" t="s">
        <v>95</v>
      </c>
      <c r="D48" s="52"/>
      <c r="F48" s="61" t="s">
        <v>76</v>
      </c>
      <c r="G48" s="28">
        <f>((1+ADVEXPR)^A44)*ADVEXP</f>
        <v>661249999.99999988</v>
      </c>
      <c r="H48" s="12"/>
      <c r="I48" s="12"/>
      <c r="K48" s="37" t="s">
        <v>94</v>
      </c>
      <c r="L48" s="45">
        <f>100*(1+INFL)^A44</f>
        <v>103.02249999999998</v>
      </c>
      <c r="N48" s="27"/>
    </row>
    <row r="49" spans="3:14" x14ac:dyDescent="0.35">
      <c r="C49" s="50" t="s">
        <v>61</v>
      </c>
      <c r="D49" s="52">
        <f>L46*L52</f>
        <v>1840033361.2499995</v>
      </c>
      <c r="F49" s="61" t="s">
        <v>114</v>
      </c>
      <c r="G49" s="28">
        <f>SUMMARY!$C$6</f>
        <v>80000000</v>
      </c>
      <c r="H49" s="12"/>
      <c r="I49" s="12"/>
      <c r="K49" s="37" t="s">
        <v>66</v>
      </c>
      <c r="L49" s="45">
        <f>NEWPAR*(1+NEWPARGR)^A44</f>
        <v>5832000.0000000009</v>
      </c>
      <c r="N49" s="27"/>
    </row>
    <row r="50" spans="3:14" x14ac:dyDescent="0.35">
      <c r="C50" s="50" t="s">
        <v>62</v>
      </c>
      <c r="D50" s="52">
        <f>L47*L53</f>
        <v>1795064040</v>
      </c>
      <c r="F50" s="61"/>
      <c r="G50" s="28"/>
      <c r="H50" s="12"/>
      <c r="I50" s="12"/>
      <c r="K50" s="37" t="s">
        <v>89</v>
      </c>
      <c r="L50" s="45">
        <f>L48/2</f>
        <v>51.51124999999999</v>
      </c>
      <c r="N50" s="41" t="b">
        <f>IF(L51&gt;$L$13,"yes")</f>
        <v>0</v>
      </c>
    </row>
    <row r="51" spans="3:14" x14ac:dyDescent="0.35">
      <c r="C51" s="50" t="s">
        <v>66</v>
      </c>
      <c r="D51" s="52">
        <f>L49*L54</f>
        <v>173038239.35999998</v>
      </c>
      <c r="F51" s="61"/>
      <c r="G51" s="28"/>
      <c r="H51" s="12"/>
      <c r="I51" s="12"/>
      <c r="K51" s="37" t="s">
        <v>96</v>
      </c>
      <c r="L51" s="45">
        <f>L47+L49</f>
        <v>42132000.000000007</v>
      </c>
      <c r="N51" s="27"/>
    </row>
    <row r="52" spans="3:14" x14ac:dyDescent="0.35">
      <c r="C52" s="54" t="s">
        <v>71</v>
      </c>
      <c r="D52" s="55">
        <f>SUM(D46:D51)</f>
        <v>12959469781.859999</v>
      </c>
      <c r="F52" s="63" t="s">
        <v>77</v>
      </c>
      <c r="G52" s="32">
        <f>SUM(G46:G49)</f>
        <v>1226250000</v>
      </c>
      <c r="H52" s="12"/>
      <c r="I52" s="12"/>
      <c r="K52" s="37" t="s">
        <v>97</v>
      </c>
      <c r="L52" s="45">
        <f>((1+INFL)^A44)*USSC</f>
        <v>37.08809999999999</v>
      </c>
      <c r="N52" s="27"/>
    </row>
    <row r="53" spans="3:14" x14ac:dyDescent="0.35">
      <c r="K53" s="37" t="s">
        <v>98</v>
      </c>
      <c r="L53" s="45">
        <f>((1+INFL)^A44)*INTERSC</f>
        <v>49.450799999999987</v>
      </c>
      <c r="N53" s="27"/>
    </row>
    <row r="54" spans="3:14" x14ac:dyDescent="0.35">
      <c r="C54" s="53" t="s">
        <v>84</v>
      </c>
      <c r="D54" s="30" t="s">
        <v>133</v>
      </c>
      <c r="K54" s="33" t="s">
        <v>99</v>
      </c>
      <c r="L54" s="47">
        <f>0.6*L53</f>
        <v>29.670479999999991</v>
      </c>
      <c r="N54" s="27"/>
    </row>
    <row r="55" spans="3:14" x14ac:dyDescent="0.35">
      <c r="C55" s="50" t="s">
        <v>78</v>
      </c>
      <c r="D55" s="52">
        <f>0.05*D52</f>
        <v>647973489.09299994</v>
      </c>
      <c r="L55" s="14"/>
      <c r="N55" s="27"/>
    </row>
    <row r="56" spans="3:14" x14ac:dyDescent="0.35">
      <c r="C56" s="50" t="s">
        <v>79</v>
      </c>
      <c r="D56" s="52">
        <f>0.1*D52</f>
        <v>1295946978.1859999</v>
      </c>
      <c r="L56" s="14"/>
      <c r="N56" s="27"/>
    </row>
    <row r="57" spans="3:14" x14ac:dyDescent="0.35">
      <c r="C57" s="64" t="s">
        <v>80</v>
      </c>
      <c r="D57" s="55">
        <f>0.06*D52</f>
        <v>777568186.91159987</v>
      </c>
      <c r="L57" s="14"/>
      <c r="N57" s="27"/>
    </row>
    <row r="58" spans="3:14" x14ac:dyDescent="0.35">
      <c r="L58" s="14"/>
      <c r="N58" s="27"/>
    </row>
    <row r="59" spans="3:14" x14ac:dyDescent="0.35">
      <c r="C59" s="65" t="s">
        <v>133</v>
      </c>
      <c r="D59" s="66" t="s">
        <v>134</v>
      </c>
      <c r="L59" s="14"/>
      <c r="N59" s="27"/>
    </row>
    <row r="60" spans="3:14" x14ac:dyDescent="0.35">
      <c r="C60" s="50" t="s">
        <v>81</v>
      </c>
      <c r="D60" s="52">
        <f>D52-G52</f>
        <v>11733219781.859999</v>
      </c>
      <c r="L60" s="14"/>
      <c r="N60" s="27"/>
    </row>
    <row r="61" spans="3:14" x14ac:dyDescent="0.35">
      <c r="C61" s="50" t="s">
        <v>69</v>
      </c>
      <c r="D61" s="52">
        <f>D39</f>
        <v>48640000</v>
      </c>
      <c r="L61" s="14"/>
      <c r="N61" s="27"/>
    </row>
    <row r="62" spans="3:14" x14ac:dyDescent="0.35">
      <c r="C62" s="50" t="s">
        <v>67</v>
      </c>
      <c r="D62" s="52">
        <f>D60-D61</f>
        <v>11684579781.859999</v>
      </c>
      <c r="L62" s="14"/>
      <c r="N62" s="27"/>
    </row>
    <row r="63" spans="3:14" x14ac:dyDescent="0.35">
      <c r="C63" s="50" t="s">
        <v>68</v>
      </c>
      <c r="D63" s="52">
        <f>0.1*D62</f>
        <v>1168457978.1859999</v>
      </c>
      <c r="L63" s="14"/>
      <c r="N63" s="27"/>
    </row>
    <row r="64" spans="3:14" x14ac:dyDescent="0.35">
      <c r="C64" s="64" t="s">
        <v>82</v>
      </c>
      <c r="D64" s="67">
        <f>D62-D63</f>
        <v>10516121803.674</v>
      </c>
      <c r="L64" s="14"/>
      <c r="N64" s="27"/>
    </row>
    <row r="65" spans="1:14" x14ac:dyDescent="0.35">
      <c r="A65">
        <v>3</v>
      </c>
      <c r="B65" t="s">
        <v>102</v>
      </c>
      <c r="L65" s="14"/>
      <c r="N65" s="27"/>
    </row>
    <row r="66" spans="1:14" ht="16" x14ac:dyDescent="0.5">
      <c r="C66" s="53" t="s">
        <v>70</v>
      </c>
      <c r="D66" s="30" t="s">
        <v>133</v>
      </c>
      <c r="F66" s="62" t="s">
        <v>72</v>
      </c>
      <c r="G66" s="35" t="s">
        <v>133</v>
      </c>
      <c r="H66" s="12"/>
      <c r="I66" s="12"/>
      <c r="N66" s="27"/>
    </row>
    <row r="67" spans="1:14" x14ac:dyDescent="0.35">
      <c r="C67" s="50" t="s">
        <v>59</v>
      </c>
      <c r="D67" s="52">
        <f>L69*(L67+L68)</f>
        <v>9622659181.2421875</v>
      </c>
      <c r="F67" s="61" t="s">
        <v>75</v>
      </c>
      <c r="G67" s="28">
        <f>((1+GAGR)^A65)*GAEXP</f>
        <v>463050000.00000006</v>
      </c>
      <c r="H67" s="12"/>
      <c r="I67" s="12"/>
      <c r="K67" s="37" t="s">
        <v>61</v>
      </c>
      <c r="L67" s="45">
        <f>((1+USRUSGR)^A65)*$L$4</f>
        <v>52093125.000000007</v>
      </c>
      <c r="N67" s="27"/>
    </row>
    <row r="68" spans="1:14" x14ac:dyDescent="0.35">
      <c r="C68" s="50" t="s">
        <v>65</v>
      </c>
      <c r="D68" s="52">
        <f>L70*L71</f>
        <v>329313399.28199995</v>
      </c>
      <c r="F68" s="61" t="s">
        <v>100</v>
      </c>
      <c r="G68" s="28">
        <f>GAEXP2ND*((1+GA2NDGR)^(A65-1))</f>
        <v>48400000.000000007</v>
      </c>
      <c r="H68" s="12"/>
      <c r="I68" s="12"/>
      <c r="K68" s="37" t="s">
        <v>62</v>
      </c>
      <c r="L68" s="45">
        <f>((1+INTERGR)^A65)*$L$5</f>
        <v>39930000.000000015</v>
      </c>
      <c r="N68" s="27"/>
    </row>
    <row r="69" spans="1:14" x14ac:dyDescent="0.35">
      <c r="C69" s="51" t="s">
        <v>95</v>
      </c>
      <c r="D69" s="52"/>
      <c r="F69" s="61" t="s">
        <v>76</v>
      </c>
      <c r="G69" s="28">
        <f>((1+ADVEXPR)^A65)*ADVEXP</f>
        <v>760437499.99999976</v>
      </c>
      <c r="H69" s="12"/>
      <c r="I69" s="12"/>
      <c r="K69" s="37" t="s">
        <v>94</v>
      </c>
      <c r="L69" s="45">
        <f>100*(1+INFL)^A65</f>
        <v>104.56783749999997</v>
      </c>
      <c r="N69" s="27"/>
    </row>
    <row r="70" spans="1:14" x14ac:dyDescent="0.35">
      <c r="C70" s="50" t="s">
        <v>61</v>
      </c>
      <c r="D70" s="52">
        <f>L67*L73</f>
        <v>1961015554.752187</v>
      </c>
      <c r="F70" s="61" t="s">
        <v>114</v>
      </c>
      <c r="G70" s="28">
        <f>SUMMARY!$C$6</f>
        <v>80000000</v>
      </c>
      <c r="H70" s="12"/>
      <c r="I70" s="12"/>
      <c r="K70" s="37" t="s">
        <v>66</v>
      </c>
      <c r="L70" s="45">
        <f>NEWPAR*(1+NEWPARGR)^A65</f>
        <v>6298560.0000000009</v>
      </c>
      <c r="N70" s="27"/>
    </row>
    <row r="71" spans="1:14" x14ac:dyDescent="0.35">
      <c r="C71" s="50" t="s">
        <v>62</v>
      </c>
      <c r="D71" s="52">
        <f>L68*L74</f>
        <v>2004189000.6600001</v>
      </c>
      <c r="F71" s="61"/>
      <c r="G71" s="28"/>
      <c r="H71" s="12"/>
      <c r="I71" s="12"/>
      <c r="K71" s="37" t="s">
        <v>89</v>
      </c>
      <c r="L71" s="45">
        <f>L69/2</f>
        <v>52.283918749999984</v>
      </c>
      <c r="N71" s="42" t="b">
        <f>IF(L72&gt;$L$13,"yes")</f>
        <v>0</v>
      </c>
    </row>
    <row r="72" spans="1:14" x14ac:dyDescent="0.35">
      <c r="C72" s="50" t="s">
        <v>66</v>
      </c>
      <c r="D72" s="52">
        <f>L70*L75</f>
        <v>189684517.98643196</v>
      </c>
      <c r="F72" s="61"/>
      <c r="G72" s="28"/>
      <c r="H72" s="12"/>
      <c r="I72" s="12"/>
      <c r="K72" s="37" t="s">
        <v>96</v>
      </c>
      <c r="L72" s="45">
        <f>L68+L70</f>
        <v>46228560.000000015</v>
      </c>
      <c r="N72" s="27"/>
    </row>
    <row r="73" spans="1:14" x14ac:dyDescent="0.35">
      <c r="C73" s="54" t="s">
        <v>71</v>
      </c>
      <c r="D73" s="55">
        <f>SUM(D67:D72)</f>
        <v>14106861653.922806</v>
      </c>
      <c r="F73" s="63" t="s">
        <v>77</v>
      </c>
      <c r="G73" s="32">
        <f>SUM(G67:G70)</f>
        <v>1351887499.9999998</v>
      </c>
      <c r="H73" s="12"/>
      <c r="I73" s="12"/>
      <c r="K73" s="37" t="s">
        <v>97</v>
      </c>
      <c r="L73" s="45">
        <f>((1+INFL)^A65)*USSC</f>
        <v>37.644421499999986</v>
      </c>
      <c r="N73" s="27"/>
    </row>
    <row r="74" spans="1:14" x14ac:dyDescent="0.35">
      <c r="K74" s="37" t="s">
        <v>98</v>
      </c>
      <c r="L74" s="45">
        <f>((1+INFL)^A65)*INTERSC</f>
        <v>50.192561999999981</v>
      </c>
      <c r="N74" s="27"/>
    </row>
    <row r="75" spans="1:14" x14ac:dyDescent="0.35">
      <c r="C75" s="53" t="s">
        <v>84</v>
      </c>
      <c r="D75" s="30" t="s">
        <v>133</v>
      </c>
      <c r="K75" s="33" t="s">
        <v>99</v>
      </c>
      <c r="L75" s="47">
        <f>0.6*L74</f>
        <v>30.115537199999988</v>
      </c>
      <c r="N75" s="27"/>
    </row>
    <row r="76" spans="1:14" x14ac:dyDescent="0.35">
      <c r="C76" s="50" t="s">
        <v>78</v>
      </c>
      <c r="D76" s="52">
        <f>0.05*D73</f>
        <v>705343082.69614029</v>
      </c>
      <c r="L76" s="14"/>
      <c r="N76" s="27"/>
    </row>
    <row r="77" spans="1:14" x14ac:dyDescent="0.35">
      <c r="C77" s="50" t="s">
        <v>79</v>
      </c>
      <c r="D77" s="52">
        <f>0.1*D73</f>
        <v>1410686165.3922806</v>
      </c>
      <c r="L77" s="14"/>
      <c r="N77" s="27"/>
    </row>
    <row r="78" spans="1:14" x14ac:dyDescent="0.35">
      <c r="C78" s="64" t="s">
        <v>80</v>
      </c>
      <c r="D78" s="55">
        <f>0.06*D73</f>
        <v>846411699.23536837</v>
      </c>
      <c r="L78" s="14"/>
      <c r="N78" s="27"/>
    </row>
    <row r="79" spans="1:14" x14ac:dyDescent="0.35">
      <c r="L79" s="14"/>
      <c r="N79" s="27"/>
    </row>
    <row r="80" spans="1:14" x14ac:dyDescent="0.35">
      <c r="C80" s="65" t="s">
        <v>133</v>
      </c>
      <c r="D80" s="66" t="s">
        <v>134</v>
      </c>
      <c r="L80" s="14"/>
      <c r="N80" s="27"/>
    </row>
    <row r="81" spans="1:14" x14ac:dyDescent="0.35">
      <c r="C81" s="50" t="s">
        <v>81</v>
      </c>
      <c r="D81" s="52">
        <f>D73-G73</f>
        <v>12754974153.922806</v>
      </c>
      <c r="L81" s="14"/>
      <c r="N81" s="27"/>
    </row>
    <row r="82" spans="1:14" x14ac:dyDescent="0.35">
      <c r="C82" s="50" t="s">
        <v>69</v>
      </c>
      <c r="D82" s="52">
        <f>D61</f>
        <v>48640000</v>
      </c>
      <c r="L82" s="14"/>
      <c r="N82" s="27"/>
    </row>
    <row r="83" spans="1:14" x14ac:dyDescent="0.35">
      <c r="C83" s="50" t="s">
        <v>67</v>
      </c>
      <c r="D83" s="52">
        <f>D81-D82</f>
        <v>12706334153.922806</v>
      </c>
      <c r="L83" s="14"/>
      <c r="N83" s="27"/>
    </row>
    <row r="84" spans="1:14" x14ac:dyDescent="0.35">
      <c r="C84" s="50" t="s">
        <v>68</v>
      </c>
      <c r="D84" s="52">
        <f>0.1*D83</f>
        <v>1270633415.3922806</v>
      </c>
      <c r="L84" s="14"/>
      <c r="N84" s="27"/>
    </row>
    <row r="85" spans="1:14" x14ac:dyDescent="0.35">
      <c r="C85" s="64" t="s">
        <v>82</v>
      </c>
      <c r="D85" s="67">
        <f>D83-D84</f>
        <v>11435700738.530525</v>
      </c>
      <c r="L85" s="14"/>
      <c r="N85" s="27"/>
    </row>
    <row r="86" spans="1:14" x14ac:dyDescent="0.35">
      <c r="A86">
        <v>4</v>
      </c>
      <c r="B86" t="s">
        <v>103</v>
      </c>
      <c r="L86" s="14"/>
      <c r="N86" s="27"/>
    </row>
    <row r="87" spans="1:14" ht="16" x14ac:dyDescent="0.5">
      <c r="C87" s="53" t="s">
        <v>70</v>
      </c>
      <c r="D87" s="30" t="s">
        <v>133</v>
      </c>
      <c r="F87" s="62" t="s">
        <v>72</v>
      </c>
      <c r="G87" s="35" t="s">
        <v>133</v>
      </c>
      <c r="H87" s="12"/>
      <c r="I87" s="12"/>
      <c r="N87" s="27"/>
    </row>
    <row r="88" spans="1:14" x14ac:dyDescent="0.35">
      <c r="C88" s="50" t="s">
        <v>59</v>
      </c>
      <c r="D88" s="52">
        <f>L90*(L88+L89)</f>
        <v>10467250255.29114</v>
      </c>
      <c r="F88" s="61" t="s">
        <v>75</v>
      </c>
      <c r="G88" s="28">
        <f>((1+GAGR)^A86)*GAEXP</f>
        <v>486202500</v>
      </c>
      <c r="H88" s="12"/>
      <c r="I88" s="12"/>
      <c r="K88" s="37" t="s">
        <v>61</v>
      </c>
      <c r="L88" s="45">
        <f>((1+USRUSGR)^A86)*$L$4</f>
        <v>54697781.25</v>
      </c>
      <c r="N88" s="27"/>
    </row>
    <row r="89" spans="1:14" x14ac:dyDescent="0.35">
      <c r="C89" s="50" t="s">
        <v>65</v>
      </c>
      <c r="D89" s="52">
        <f>L91*L92</f>
        <v>360993348.29292828</v>
      </c>
      <c r="F89" s="61" t="s">
        <v>100</v>
      </c>
      <c r="G89" s="28">
        <f>GAEXP2ND*((1+GA2NDGR)^(A86-1))</f>
        <v>53240000.000000015</v>
      </c>
      <c r="H89" s="12"/>
      <c r="I89" s="12"/>
      <c r="K89" s="37" t="s">
        <v>62</v>
      </c>
      <c r="L89" s="45">
        <f>((1+INTERGR)^A86)*$L$5</f>
        <v>43923000.000000015</v>
      </c>
      <c r="N89" s="27"/>
    </row>
    <row r="90" spans="1:14" x14ac:dyDescent="0.35">
      <c r="C90" s="51" t="s">
        <v>95</v>
      </c>
      <c r="D90" s="52"/>
      <c r="F90" s="61" t="s">
        <v>76</v>
      </c>
      <c r="G90" s="28">
        <f>((1+ADVEXPR)^A86)*ADVEXP</f>
        <v>874503124.99999976</v>
      </c>
      <c r="H90" s="12"/>
      <c r="I90" s="12"/>
      <c r="K90" s="37" t="s">
        <v>94</v>
      </c>
      <c r="L90" s="45">
        <f>100*(1+INFL)^A86</f>
        <v>106.13635506249994</v>
      </c>
      <c r="N90" s="27"/>
    </row>
    <row r="91" spans="1:14" x14ac:dyDescent="0.35">
      <c r="C91" s="50" t="s">
        <v>61</v>
      </c>
      <c r="D91" s="52">
        <f>L88*L94</f>
        <v>2089952327.4771428</v>
      </c>
      <c r="F91" s="61" t="s">
        <v>90</v>
      </c>
      <c r="G91" s="28">
        <f>600000000*((1+INFL)^A86)</f>
        <v>636818130.37499964</v>
      </c>
      <c r="H91" s="12"/>
      <c r="I91" s="12"/>
      <c r="K91" s="37" t="s">
        <v>66</v>
      </c>
      <c r="L91" s="45">
        <f>NEWPAR*(1+NEWPARGR)^A86</f>
        <v>6802444.8000000017</v>
      </c>
      <c r="N91" s="27"/>
    </row>
    <row r="92" spans="1:14" x14ac:dyDescent="0.35">
      <c r="C92" s="50" t="s">
        <v>62</v>
      </c>
      <c r="D92" s="52">
        <f>L89*L95</f>
        <v>2237677019.2368894</v>
      </c>
      <c r="F92" s="61" t="s">
        <v>114</v>
      </c>
      <c r="G92" s="28">
        <f>SUMMARY!$C$6</f>
        <v>80000000</v>
      </c>
      <c r="H92" s="12"/>
      <c r="I92" s="12"/>
      <c r="K92" s="37" t="s">
        <v>89</v>
      </c>
      <c r="L92" s="45">
        <f>L90/2</f>
        <v>53.068177531249972</v>
      </c>
      <c r="N92" s="41" t="b">
        <f>IF(L93&gt;$L$13,"yes")</f>
        <v>0</v>
      </c>
    </row>
    <row r="93" spans="1:14" x14ac:dyDescent="0.35">
      <c r="C93" s="50" t="s">
        <v>66</v>
      </c>
      <c r="D93" s="52">
        <f>L91*L96</f>
        <v>207932168.6167267</v>
      </c>
      <c r="F93" s="61"/>
      <c r="G93" s="28"/>
      <c r="H93" s="12"/>
      <c r="I93" s="12"/>
      <c r="K93" s="37" t="s">
        <v>96</v>
      </c>
      <c r="L93" s="45">
        <f>L89+L91</f>
        <v>50725444.800000019</v>
      </c>
      <c r="N93" s="27"/>
    </row>
    <row r="94" spans="1:14" x14ac:dyDescent="0.35">
      <c r="C94" s="54" t="s">
        <v>71</v>
      </c>
      <c r="D94" s="55">
        <f>SUM(D88:D93)</f>
        <v>15363805118.914825</v>
      </c>
      <c r="F94" s="63" t="s">
        <v>77</v>
      </c>
      <c r="G94" s="32">
        <f>SUM(G88:G92)</f>
        <v>2130763755.3749995</v>
      </c>
      <c r="H94" s="12"/>
      <c r="I94" s="12"/>
      <c r="K94" s="37" t="s">
        <v>97</v>
      </c>
      <c r="L94" s="45">
        <f>((1+INFL)^A86)*USSC</f>
        <v>38.209087822499981</v>
      </c>
      <c r="N94" s="27"/>
    </row>
    <row r="95" spans="1:14" x14ac:dyDescent="0.35">
      <c r="K95" s="37" t="s">
        <v>98</v>
      </c>
      <c r="L95" s="45">
        <f>((1+INFL)^A86)*INTERSC</f>
        <v>50.945450429999973</v>
      </c>
      <c r="N95" s="27"/>
    </row>
    <row r="96" spans="1:14" x14ac:dyDescent="0.35">
      <c r="C96" s="53" t="s">
        <v>84</v>
      </c>
      <c r="D96" s="30" t="s">
        <v>133</v>
      </c>
      <c r="K96" s="33" t="s">
        <v>99</v>
      </c>
      <c r="L96" s="47">
        <f>0.6*L95</f>
        <v>30.567270257999983</v>
      </c>
      <c r="N96" s="27"/>
    </row>
    <row r="97" spans="1:14" x14ac:dyDescent="0.35">
      <c r="C97" s="50" t="s">
        <v>78</v>
      </c>
      <c r="D97" s="52">
        <f>0.05*D94</f>
        <v>768190255.9457413</v>
      </c>
      <c r="L97" s="14"/>
      <c r="N97" s="27"/>
    </row>
    <row r="98" spans="1:14" x14ac:dyDescent="0.35">
      <c r="C98" s="50" t="s">
        <v>79</v>
      </c>
      <c r="D98" s="52">
        <f>0.1*D94</f>
        <v>1536380511.8914826</v>
      </c>
      <c r="L98" s="14"/>
      <c r="N98" s="27"/>
    </row>
    <row r="99" spans="1:14" x14ac:dyDescent="0.35">
      <c r="C99" s="64" t="s">
        <v>80</v>
      </c>
      <c r="D99" s="55">
        <f>0.06*D94</f>
        <v>921828307.13488948</v>
      </c>
      <c r="L99" s="14"/>
      <c r="N99" s="27"/>
    </row>
    <row r="100" spans="1:14" x14ac:dyDescent="0.35">
      <c r="L100" s="14"/>
      <c r="N100" s="27"/>
    </row>
    <row r="101" spans="1:14" x14ac:dyDescent="0.35">
      <c r="C101" s="65" t="s">
        <v>133</v>
      </c>
      <c r="D101" s="66" t="s">
        <v>134</v>
      </c>
      <c r="L101" s="14"/>
      <c r="N101" s="27"/>
    </row>
    <row r="102" spans="1:14" x14ac:dyDescent="0.35">
      <c r="C102" s="50" t="s">
        <v>81</v>
      </c>
      <c r="D102" s="52">
        <f>D94-G94</f>
        <v>13233041363.539825</v>
      </c>
      <c r="L102" s="14"/>
      <c r="N102" s="27"/>
    </row>
    <row r="103" spans="1:14" x14ac:dyDescent="0.35">
      <c r="C103" s="50" t="s">
        <v>69</v>
      </c>
      <c r="D103" s="52">
        <f>D82</f>
        <v>48640000</v>
      </c>
      <c r="L103" s="14"/>
      <c r="N103" s="27"/>
    </row>
    <row r="104" spans="1:14" x14ac:dyDescent="0.35">
      <c r="C104" s="50" t="s">
        <v>67</v>
      </c>
      <c r="D104" s="52">
        <f>D102-D103</f>
        <v>13184401363.539825</v>
      </c>
      <c r="L104" s="14"/>
      <c r="N104" s="27"/>
    </row>
    <row r="105" spans="1:14" x14ac:dyDescent="0.35">
      <c r="C105" s="50" t="s">
        <v>68</v>
      </c>
      <c r="D105" s="52">
        <f>0.1*D104</f>
        <v>1318440136.3539827</v>
      </c>
      <c r="L105" s="14"/>
      <c r="N105" s="27"/>
    </row>
    <row r="106" spans="1:14" x14ac:dyDescent="0.35">
      <c r="C106" s="64" t="s">
        <v>82</v>
      </c>
      <c r="D106" s="67">
        <f>D104-D105</f>
        <v>11865961227.185843</v>
      </c>
      <c r="L106" s="14"/>
      <c r="N106" s="27"/>
    </row>
    <row r="107" spans="1:14" x14ac:dyDescent="0.35">
      <c r="A107">
        <v>5</v>
      </c>
      <c r="B107" t="s">
        <v>104</v>
      </c>
      <c r="L107" s="14"/>
      <c r="N107" s="27"/>
    </row>
    <row r="108" spans="1:14" ht="16" x14ac:dyDescent="0.5">
      <c r="C108" s="53" t="s">
        <v>70</v>
      </c>
      <c r="D108" s="30" t="s">
        <v>133</v>
      </c>
      <c r="F108" s="62" t="s">
        <v>72</v>
      </c>
      <c r="G108" s="35" t="s">
        <v>133</v>
      </c>
      <c r="H108" s="12"/>
      <c r="I108" s="12"/>
      <c r="N108" s="27"/>
    </row>
    <row r="109" spans="1:14" x14ac:dyDescent="0.35">
      <c r="C109" s="50" t="s">
        <v>59</v>
      </c>
      <c r="D109" s="52">
        <f>L111*(L109+L110)</f>
        <v>11392059686.089598</v>
      </c>
      <c r="F109" s="61" t="s">
        <v>75</v>
      </c>
      <c r="G109" s="28">
        <f>((1+GAGR)^A107)*GAEXP</f>
        <v>510512625.00000006</v>
      </c>
      <c r="H109" s="12"/>
      <c r="I109" s="12"/>
      <c r="K109" s="37" t="s">
        <v>61</v>
      </c>
      <c r="L109" s="45">
        <f>((1+USRUSGR)^A107)*$L$4</f>
        <v>57432670.312500007</v>
      </c>
      <c r="N109" s="27"/>
    </row>
    <row r="110" spans="1:14" x14ac:dyDescent="0.35">
      <c r="C110" s="50" t="s">
        <v>65</v>
      </c>
      <c r="D110" s="52">
        <f>L112*L113</f>
        <v>395720908.39870793</v>
      </c>
      <c r="F110" s="61" t="s">
        <v>100</v>
      </c>
      <c r="G110" s="28">
        <f>GAEXP2ND*((1+GA2NDGR)^(A107-1))</f>
        <v>58564000.000000015</v>
      </c>
      <c r="H110" s="12"/>
      <c r="I110" s="12"/>
      <c r="K110" s="37" t="s">
        <v>62</v>
      </c>
      <c r="L110" s="45">
        <f>((1+INTERGR)^A107)*$L$5</f>
        <v>48315300.000000015</v>
      </c>
      <c r="N110" s="27"/>
    </row>
    <row r="111" spans="1:14" x14ac:dyDescent="0.35">
      <c r="C111" s="51" t="s">
        <v>95</v>
      </c>
      <c r="D111" s="52"/>
      <c r="F111" s="61" t="s">
        <v>76</v>
      </c>
      <c r="G111" s="28">
        <f>((1+ADVEXPR)^A107)*ADVEXP</f>
        <v>1005678593.7499996</v>
      </c>
      <c r="H111" s="12"/>
      <c r="I111" s="12"/>
      <c r="K111" s="37" t="s">
        <v>94</v>
      </c>
      <c r="L111" s="45">
        <f>100*(1+INFL)^A107</f>
        <v>107.72840038843742</v>
      </c>
      <c r="N111" s="27"/>
    </row>
    <row r="112" spans="1:14" x14ac:dyDescent="0.35">
      <c r="C112" s="50" t="s">
        <v>61</v>
      </c>
      <c r="D112" s="52">
        <f>L109*L115</f>
        <v>2227366693.0087647</v>
      </c>
      <c r="F112" s="61" t="s">
        <v>114</v>
      </c>
      <c r="G112" s="28">
        <f>SUMMARY!$C$6</f>
        <v>80000000</v>
      </c>
      <c r="H112" s="12"/>
      <c r="I112" s="12"/>
      <c r="K112" s="37" t="s">
        <v>66</v>
      </c>
      <c r="L112" s="45">
        <f>NEWPAR*(1+NEWPARGR)^A107</f>
        <v>7346640.3840000015</v>
      </c>
      <c r="N112" s="27"/>
    </row>
    <row r="113" spans="1:14" x14ac:dyDescent="0.35">
      <c r="C113" s="50" t="s">
        <v>62</v>
      </c>
      <c r="D113" s="52">
        <f>L110*L116</f>
        <v>2498366391.9779868</v>
      </c>
      <c r="F113" s="61"/>
      <c r="G113" s="28"/>
      <c r="H113" s="12"/>
      <c r="I113" s="12"/>
      <c r="K113" s="37" t="s">
        <v>89</v>
      </c>
      <c r="L113" s="45">
        <f>L111/2</f>
        <v>53.864200194218711</v>
      </c>
      <c r="N113" s="44" t="str">
        <f>IF(L114&gt;$L$13,"yes")</f>
        <v>yes</v>
      </c>
    </row>
    <row r="114" spans="1:14" x14ac:dyDescent="0.35">
      <c r="C114" s="50" t="s">
        <v>66</v>
      </c>
      <c r="D114" s="52">
        <f>L112*L117</f>
        <v>227935243.23765576</v>
      </c>
      <c r="F114" s="61"/>
      <c r="G114" s="28"/>
      <c r="H114" s="12"/>
      <c r="I114" s="12"/>
      <c r="K114" s="37" t="s">
        <v>96</v>
      </c>
      <c r="L114" s="45">
        <f>L110+L112</f>
        <v>55661940.384000018</v>
      </c>
    </row>
    <row r="115" spans="1:14" x14ac:dyDescent="0.35">
      <c r="C115" s="54" t="s">
        <v>71</v>
      </c>
      <c r="D115" s="55">
        <f>SUM(D109:D114)</f>
        <v>16741448922.712713</v>
      </c>
      <c r="F115" s="63" t="s">
        <v>77</v>
      </c>
      <c r="G115" s="32">
        <f>SUM(G109:G112)</f>
        <v>1654755218.7499998</v>
      </c>
      <c r="H115" s="12"/>
      <c r="I115" s="12"/>
      <c r="K115" s="37" t="s">
        <v>97</v>
      </c>
      <c r="L115" s="45">
        <f>((1+INFL)^A107)*USSC</f>
        <v>38.782224139837474</v>
      </c>
    </row>
    <row r="116" spans="1:14" x14ac:dyDescent="0.35">
      <c r="K116" s="37" t="s">
        <v>98</v>
      </c>
      <c r="L116" s="45">
        <f>((1+INFL)^A107)*INTERSC</f>
        <v>51.709632186449966</v>
      </c>
    </row>
    <row r="117" spans="1:14" x14ac:dyDescent="0.35">
      <c r="C117" s="53" t="s">
        <v>84</v>
      </c>
      <c r="D117" s="30" t="s">
        <v>133</v>
      </c>
      <c r="K117" s="33" t="s">
        <v>99</v>
      </c>
      <c r="L117" s="47">
        <f>0.6*L116</f>
        <v>31.025779311869979</v>
      </c>
    </row>
    <row r="118" spans="1:14" x14ac:dyDescent="0.35">
      <c r="C118" s="50" t="s">
        <v>78</v>
      </c>
      <c r="D118" s="52">
        <f>0.05*D115</f>
        <v>837072446.13563573</v>
      </c>
      <c r="L118" s="14"/>
    </row>
    <row r="119" spans="1:14" x14ac:dyDescent="0.35">
      <c r="C119" s="50" t="s">
        <v>79</v>
      </c>
      <c r="D119" s="52">
        <f>0.1*D115</f>
        <v>1674144892.2712715</v>
      </c>
      <c r="L119" s="14"/>
    </row>
    <row r="120" spans="1:14" x14ac:dyDescent="0.35">
      <c r="C120" s="64" t="s">
        <v>80</v>
      </c>
      <c r="D120" s="55">
        <f>0.06*D115</f>
        <v>1004486935.3627628</v>
      </c>
      <c r="L120" s="14"/>
    </row>
    <row r="121" spans="1:14" x14ac:dyDescent="0.35">
      <c r="L121" s="14"/>
    </row>
    <row r="122" spans="1:14" x14ac:dyDescent="0.35">
      <c r="C122" s="65" t="s">
        <v>133</v>
      </c>
      <c r="D122" s="66" t="s">
        <v>134</v>
      </c>
      <c r="L122" s="14"/>
    </row>
    <row r="123" spans="1:14" x14ac:dyDescent="0.35">
      <c r="C123" s="50" t="s">
        <v>81</v>
      </c>
      <c r="D123" s="52">
        <f>D115-G115</f>
        <v>15086693703.962713</v>
      </c>
      <c r="L123" s="14"/>
    </row>
    <row r="124" spans="1:14" x14ac:dyDescent="0.35">
      <c r="C124" s="50" t="s">
        <v>69</v>
      </c>
      <c r="D124" s="52">
        <f>D103</f>
        <v>48640000</v>
      </c>
      <c r="L124" s="14"/>
    </row>
    <row r="125" spans="1:14" x14ac:dyDescent="0.35">
      <c r="C125" s="50" t="s">
        <v>67</v>
      </c>
      <c r="D125" s="52">
        <f>D123-D124</f>
        <v>15038053703.962713</v>
      </c>
      <c r="L125" s="14"/>
    </row>
    <row r="126" spans="1:14" x14ac:dyDescent="0.35">
      <c r="C126" s="50" t="s">
        <v>68</v>
      </c>
      <c r="D126" s="52">
        <f>0.1*D125</f>
        <v>1503805370.3962715</v>
      </c>
      <c r="L126" s="14"/>
    </row>
    <row r="127" spans="1:14" x14ac:dyDescent="0.35">
      <c r="C127" s="64" t="s">
        <v>82</v>
      </c>
      <c r="D127" s="67">
        <f>D125-D126</f>
        <v>13534248333.566442</v>
      </c>
      <c r="L127" s="14"/>
    </row>
    <row r="128" spans="1:14" x14ac:dyDescent="0.35">
      <c r="A128">
        <v>6</v>
      </c>
      <c r="B128" t="s">
        <v>105</v>
      </c>
      <c r="L128" s="14"/>
    </row>
    <row r="129" spans="3:12" ht="16" x14ac:dyDescent="0.5">
      <c r="C129" s="53" t="s">
        <v>70</v>
      </c>
      <c r="D129" s="30" t="s">
        <v>133</v>
      </c>
      <c r="F129" s="62" t="s">
        <v>72</v>
      </c>
      <c r="G129" s="35" t="s">
        <v>133</v>
      </c>
      <c r="H129" s="12"/>
      <c r="I129" s="12"/>
    </row>
    <row r="130" spans="3:12" x14ac:dyDescent="0.35">
      <c r="C130" s="50" t="s">
        <v>59</v>
      </c>
      <c r="D130" s="52">
        <f>L132*(L130+L131)</f>
        <v>12405237807.101826</v>
      </c>
      <c r="F130" s="61" t="s">
        <v>75</v>
      </c>
      <c r="G130" s="28">
        <f>((1+GAGR)^A128)*GAEXP</f>
        <v>536038256.25</v>
      </c>
      <c r="H130" s="12"/>
      <c r="I130" s="12"/>
      <c r="K130" s="37" t="s">
        <v>61</v>
      </c>
      <c r="L130" s="45">
        <f>((1+USRUSGR)^A128)*$L$4</f>
        <v>60304303.828125</v>
      </c>
    </row>
    <row r="131" spans="3:12" x14ac:dyDescent="0.35">
      <c r="C131" s="50" t="s">
        <v>65</v>
      </c>
      <c r="D131" s="52">
        <f>L133*L134</f>
        <v>433789259.78666365</v>
      </c>
      <c r="F131" s="61" t="s">
        <v>100</v>
      </c>
      <c r="G131" s="28">
        <f>GAEXP2ND*((1+GA2NDGR)^(A128-1))</f>
        <v>64420400.000000022</v>
      </c>
      <c r="H131" s="12"/>
      <c r="I131" s="12"/>
      <c r="K131" s="37" t="s">
        <v>62</v>
      </c>
      <c r="L131" s="45">
        <f>((1+INTERGR)^A128)*$L$5</f>
        <v>53146830.000000022</v>
      </c>
    </row>
    <row r="132" spans="3:12" x14ac:dyDescent="0.35">
      <c r="C132" s="51" t="s">
        <v>95</v>
      </c>
      <c r="D132" s="52"/>
      <c r="F132" s="61" t="s">
        <v>76</v>
      </c>
      <c r="G132" s="28">
        <f>((1+ADVEXPR)^A128)*ADVEXP</f>
        <v>1156530382.8124995</v>
      </c>
      <c r="H132" s="12"/>
      <c r="I132" s="12"/>
      <c r="K132" s="37" t="s">
        <v>94</v>
      </c>
      <c r="L132" s="45">
        <f>100*(1+INFL)^A128</f>
        <v>109.34432639426397</v>
      </c>
    </row>
    <row r="133" spans="3:12" x14ac:dyDescent="0.35">
      <c r="C133" s="50" t="s">
        <v>61</v>
      </c>
      <c r="D133" s="52">
        <f>L130*L136</f>
        <v>2373816053.07409</v>
      </c>
      <c r="F133" s="61" t="s">
        <v>114</v>
      </c>
      <c r="G133" s="28">
        <f>SUMMARY!$C$6</f>
        <v>80000000</v>
      </c>
      <c r="H133" s="12"/>
      <c r="I133" s="12"/>
      <c r="K133" s="37" t="s">
        <v>66</v>
      </c>
      <c r="L133" s="45">
        <f>NEWPAR*(1+NEWPARGR)^A128</f>
        <v>7934371.6147200027</v>
      </c>
    </row>
    <row r="134" spans="3:12" x14ac:dyDescent="0.35">
      <c r="C134" s="50" t="s">
        <v>62</v>
      </c>
      <c r="D134" s="52">
        <f>L131*L137</f>
        <v>2789426076.6434216</v>
      </c>
      <c r="F134" s="61"/>
      <c r="G134" s="28"/>
      <c r="H134" s="12"/>
      <c r="I134" s="12"/>
      <c r="K134" s="37" t="s">
        <v>89</v>
      </c>
      <c r="L134" s="45">
        <f>L132/2</f>
        <v>54.672163197131987</v>
      </c>
    </row>
    <row r="135" spans="3:12" x14ac:dyDescent="0.35">
      <c r="C135" s="50" t="s">
        <v>66</v>
      </c>
      <c r="D135" s="52">
        <f>L133*L138</f>
        <v>249862613.63711822</v>
      </c>
      <c r="F135" s="61"/>
      <c r="G135" s="28"/>
      <c r="H135" s="12"/>
      <c r="I135" s="12"/>
      <c r="K135" s="37" t="s">
        <v>96</v>
      </c>
      <c r="L135" s="45">
        <f>L131+L133</f>
        <v>61081201.614720024</v>
      </c>
    </row>
    <row r="136" spans="3:12" x14ac:dyDescent="0.35">
      <c r="C136" s="54" t="s">
        <v>71</v>
      </c>
      <c r="D136" s="55">
        <f>SUM(D130:D135)</f>
        <v>18252131810.243118</v>
      </c>
      <c r="F136" s="63" t="s">
        <v>77</v>
      </c>
      <c r="G136" s="32">
        <f>SUM(G130:G133)</f>
        <v>1836989039.0624995</v>
      </c>
      <c r="H136" s="12"/>
      <c r="I136" s="12"/>
      <c r="K136" s="37" t="s">
        <v>97</v>
      </c>
      <c r="L136" s="45">
        <f>((1+INFL)^A128)*USSC</f>
        <v>39.363957501935026</v>
      </c>
    </row>
    <row r="137" spans="3:12" x14ac:dyDescent="0.35">
      <c r="K137" s="37" t="s">
        <v>98</v>
      </c>
      <c r="L137" s="45">
        <f>((1+INFL)^A128)*INTERSC</f>
        <v>52.485276669246701</v>
      </c>
    </row>
    <row r="138" spans="3:12" x14ac:dyDescent="0.35">
      <c r="C138" s="53" t="s">
        <v>84</v>
      </c>
      <c r="D138" s="30" t="s">
        <v>133</v>
      </c>
      <c r="K138" s="33" t="s">
        <v>99</v>
      </c>
      <c r="L138" s="47">
        <f>0.6*L137</f>
        <v>31.49116600154802</v>
      </c>
    </row>
    <row r="139" spans="3:12" x14ac:dyDescent="0.35">
      <c r="C139" s="50" t="s">
        <v>78</v>
      </c>
      <c r="D139" s="52">
        <f>0.05*D136</f>
        <v>912606590.51215601</v>
      </c>
      <c r="L139" s="14"/>
    </row>
    <row r="140" spans="3:12" x14ac:dyDescent="0.35">
      <c r="C140" s="50" t="s">
        <v>79</v>
      </c>
      <c r="D140" s="52">
        <f>0.1*D136</f>
        <v>1825213181.024312</v>
      </c>
      <c r="L140" s="14"/>
    </row>
    <row r="141" spans="3:12" x14ac:dyDescent="0.35">
      <c r="C141" s="64" t="s">
        <v>80</v>
      </c>
      <c r="D141" s="55">
        <f>0.06*D136</f>
        <v>1095127908.6145871</v>
      </c>
      <c r="L141" s="14"/>
    </row>
    <row r="142" spans="3:12" x14ac:dyDescent="0.35">
      <c r="L142" s="14"/>
    </row>
    <row r="143" spans="3:12" x14ac:dyDescent="0.35">
      <c r="C143" s="65" t="s">
        <v>133</v>
      </c>
      <c r="D143" s="66" t="s">
        <v>134</v>
      </c>
      <c r="L143" s="14"/>
    </row>
    <row r="144" spans="3:12" x14ac:dyDescent="0.35">
      <c r="C144" s="50" t="s">
        <v>81</v>
      </c>
      <c r="D144" s="52">
        <f>D136-G136</f>
        <v>16415142771.180618</v>
      </c>
      <c r="L144" s="14"/>
    </row>
    <row r="145" spans="1:12" x14ac:dyDescent="0.35">
      <c r="C145" s="50" t="s">
        <v>69</v>
      </c>
      <c r="D145" s="52">
        <f>D124</f>
        <v>48640000</v>
      </c>
      <c r="L145" s="14"/>
    </row>
    <row r="146" spans="1:12" x14ac:dyDescent="0.35">
      <c r="C146" s="50" t="s">
        <v>67</v>
      </c>
      <c r="D146" s="52">
        <f>D144-D145</f>
        <v>16366502771.180618</v>
      </c>
      <c r="L146" s="14"/>
    </row>
    <row r="147" spans="1:12" x14ac:dyDescent="0.35">
      <c r="C147" s="50" t="s">
        <v>68</v>
      </c>
      <c r="D147" s="52">
        <f>0.1*D146</f>
        <v>1636650277.118062</v>
      </c>
      <c r="L147" s="14"/>
    </row>
    <row r="148" spans="1:12" x14ac:dyDescent="0.35">
      <c r="C148" s="64" t="s">
        <v>82</v>
      </c>
      <c r="D148" s="67">
        <f>D146-D147</f>
        <v>14729852494.062557</v>
      </c>
      <c r="L148" s="14"/>
    </row>
    <row r="149" spans="1:12" x14ac:dyDescent="0.35">
      <c r="A149">
        <v>7</v>
      </c>
      <c r="B149" t="s">
        <v>106</v>
      </c>
      <c r="L149" s="14"/>
    </row>
    <row r="150" spans="1:12" ht="16" x14ac:dyDescent="0.5">
      <c r="C150" s="53" t="s">
        <v>70</v>
      </c>
      <c r="D150" s="30" t="s">
        <v>133</v>
      </c>
      <c r="F150" s="62" t="s">
        <v>72</v>
      </c>
      <c r="G150" s="35" t="s">
        <v>133</v>
      </c>
      <c r="H150" s="12"/>
      <c r="I150" s="12"/>
    </row>
    <row r="151" spans="1:12" x14ac:dyDescent="0.35">
      <c r="C151" s="50" t="s">
        <v>59</v>
      </c>
      <c r="D151" s="52">
        <f>L153*(L151+L152)</f>
        <v>13515805887.480549</v>
      </c>
      <c r="F151" s="61" t="s">
        <v>75</v>
      </c>
      <c r="G151" s="28">
        <f>((1+GAGR)^A149)*GAEXP</f>
        <v>562840169.06250012</v>
      </c>
      <c r="H151" s="12"/>
      <c r="I151" s="12"/>
      <c r="K151" s="37" t="s">
        <v>61</v>
      </c>
      <c r="L151" s="45">
        <f>((1+USRUSGR)^A149)*$L$4</f>
        <v>63319519.019531257</v>
      </c>
    </row>
    <row r="152" spans="1:12" x14ac:dyDescent="0.35">
      <c r="C152" s="50" t="s">
        <v>65</v>
      </c>
      <c r="D152" s="52">
        <f>L154*L155</f>
        <v>475519786.57814062</v>
      </c>
      <c r="F152" s="61" t="s">
        <v>100</v>
      </c>
      <c r="G152" s="28">
        <f>GAEXP2ND*((1+GA2NDGR)^(A149-1))</f>
        <v>70862440.00000003</v>
      </c>
      <c r="H152" s="12"/>
      <c r="I152" s="12"/>
      <c r="K152" s="37" t="s">
        <v>62</v>
      </c>
      <c r="L152" s="45">
        <f>((1+INTERGR)^A149)*$L$5</f>
        <v>58461513.000000037</v>
      </c>
    </row>
    <row r="153" spans="1:12" x14ac:dyDescent="0.35">
      <c r="C153" s="51" t="s">
        <v>95</v>
      </c>
      <c r="D153" s="52"/>
      <c r="F153" s="61" t="s">
        <v>76</v>
      </c>
      <c r="G153" s="28">
        <f>((1+ADVEXPR)^A149)*ADVEXP</f>
        <v>1330009940.234374</v>
      </c>
      <c r="H153" s="12"/>
      <c r="I153" s="12"/>
      <c r="K153" s="37" t="s">
        <v>94</v>
      </c>
      <c r="L153" s="45">
        <f>100*(1+INFL)^A149</f>
        <v>110.98449129017791</v>
      </c>
    </row>
    <row r="154" spans="1:12" x14ac:dyDescent="0.35">
      <c r="C154" s="50" t="s">
        <v>61</v>
      </c>
      <c r="D154" s="52">
        <f>L151*L157</f>
        <v>2529894458.5637121</v>
      </c>
      <c r="F154" s="61" t="s">
        <v>114</v>
      </c>
      <c r="G154" s="28">
        <f>SUMMARY!$C$6</f>
        <v>80000000</v>
      </c>
      <c r="H154" s="12"/>
      <c r="I154" s="12"/>
      <c r="K154" s="37" t="s">
        <v>66</v>
      </c>
      <c r="L154" s="45">
        <f>NEWPAR*(1+NEWPARGR)^A149</f>
        <v>8569121.3438976035</v>
      </c>
    </row>
    <row r="155" spans="1:12" x14ac:dyDescent="0.35">
      <c r="C155" s="50" t="s">
        <v>62</v>
      </c>
      <c r="D155" s="52">
        <f>L152*L158</f>
        <v>3114394214.572381</v>
      </c>
      <c r="F155" s="61"/>
      <c r="G155" s="28"/>
      <c r="H155" s="12"/>
      <c r="I155" s="12"/>
      <c r="K155" s="37" t="s">
        <v>89</v>
      </c>
      <c r="L155" s="45">
        <f>L153/2</f>
        <v>55.492245645088957</v>
      </c>
    </row>
    <row r="156" spans="1:12" x14ac:dyDescent="0.35">
      <c r="C156" s="50" t="s">
        <v>66</v>
      </c>
      <c r="D156" s="52">
        <f>L154*L159</f>
        <v>273899397.06900901</v>
      </c>
      <c r="F156" s="61"/>
      <c r="G156" s="28"/>
      <c r="H156" s="12"/>
      <c r="I156" s="12"/>
      <c r="K156" s="37" t="s">
        <v>96</v>
      </c>
      <c r="L156" s="45">
        <f>L152+L154</f>
        <v>67030634.343897641</v>
      </c>
    </row>
    <row r="157" spans="1:12" x14ac:dyDescent="0.35">
      <c r="C157" s="54" t="s">
        <v>71</v>
      </c>
      <c r="D157" s="55">
        <f>SUM(D151:D156)</f>
        <v>19909513744.26379</v>
      </c>
      <c r="F157" s="63" t="s">
        <v>77</v>
      </c>
      <c r="G157" s="32">
        <f>SUM(G151:G154)</f>
        <v>2043712549.296874</v>
      </c>
      <c r="H157" s="12"/>
      <c r="I157" s="12"/>
      <c r="K157" s="37" t="s">
        <v>97</v>
      </c>
      <c r="L157" s="45">
        <f>((1+INFL)^A149)*USSC</f>
        <v>39.954416864464051</v>
      </c>
    </row>
    <row r="158" spans="1:12" x14ac:dyDescent="0.35">
      <c r="K158" s="37" t="s">
        <v>98</v>
      </c>
      <c r="L158" s="45">
        <f>((1+INFL)^A149)*INTERSC</f>
        <v>53.272555819285401</v>
      </c>
    </row>
    <row r="159" spans="1:12" x14ac:dyDescent="0.35">
      <c r="C159" s="53" t="s">
        <v>84</v>
      </c>
      <c r="D159" s="30" t="s">
        <v>133</v>
      </c>
      <c r="K159" s="33" t="s">
        <v>99</v>
      </c>
      <c r="L159" s="47">
        <f>0.6*L158</f>
        <v>31.963533491571241</v>
      </c>
    </row>
    <row r="160" spans="1:12" x14ac:dyDescent="0.35">
      <c r="C160" s="50" t="s">
        <v>78</v>
      </c>
      <c r="D160" s="52">
        <f>0.05*D157</f>
        <v>995475687.2131896</v>
      </c>
      <c r="L160" s="14"/>
    </row>
    <row r="161" spans="1:12" x14ac:dyDescent="0.35">
      <c r="C161" s="50" t="s">
        <v>79</v>
      </c>
      <c r="D161" s="52">
        <f>0.1*D157</f>
        <v>1990951374.4263792</v>
      </c>
      <c r="L161" s="14"/>
    </row>
    <row r="162" spans="1:12" x14ac:dyDescent="0.35">
      <c r="C162" s="64" t="s">
        <v>80</v>
      </c>
      <c r="D162" s="55">
        <f>0.06*D157</f>
        <v>1194570824.6558273</v>
      </c>
      <c r="L162" s="14"/>
    </row>
    <row r="163" spans="1:12" x14ac:dyDescent="0.35">
      <c r="L163" s="14"/>
    </row>
    <row r="164" spans="1:12" x14ac:dyDescent="0.35">
      <c r="C164" s="65" t="s">
        <v>133</v>
      </c>
      <c r="D164" s="66" t="s">
        <v>134</v>
      </c>
      <c r="L164" s="14"/>
    </row>
    <row r="165" spans="1:12" x14ac:dyDescent="0.35">
      <c r="C165" s="50" t="s">
        <v>81</v>
      </c>
      <c r="D165" s="52">
        <f>D157-G157</f>
        <v>17865801194.966915</v>
      </c>
      <c r="L165" s="14"/>
    </row>
    <row r="166" spans="1:12" x14ac:dyDescent="0.35">
      <c r="C166" s="50" t="s">
        <v>69</v>
      </c>
      <c r="D166" s="52">
        <f>D145</f>
        <v>48640000</v>
      </c>
      <c r="L166" s="14"/>
    </row>
    <row r="167" spans="1:12" x14ac:dyDescent="0.35">
      <c r="C167" s="50" t="s">
        <v>67</v>
      </c>
      <c r="D167" s="52">
        <f>D165-D166</f>
        <v>17817161194.966915</v>
      </c>
      <c r="L167" s="14"/>
    </row>
    <row r="168" spans="1:12" x14ac:dyDescent="0.35">
      <c r="C168" s="50" t="s">
        <v>68</v>
      </c>
      <c r="D168" s="52">
        <f>0.1*D167</f>
        <v>1781716119.4966917</v>
      </c>
      <c r="L168" s="14"/>
    </row>
    <row r="169" spans="1:12" x14ac:dyDescent="0.35">
      <c r="C169" s="64" t="s">
        <v>82</v>
      </c>
      <c r="D169" s="67">
        <f>D167-D168</f>
        <v>16035445075.470222</v>
      </c>
      <c r="L169" s="14"/>
    </row>
    <row r="170" spans="1:12" x14ac:dyDescent="0.35">
      <c r="A170">
        <v>8</v>
      </c>
      <c r="B170" t="s">
        <v>107</v>
      </c>
      <c r="L170" s="14"/>
    </row>
    <row r="171" spans="1:12" ht="16" x14ac:dyDescent="0.5">
      <c r="C171" s="53" t="s">
        <v>70</v>
      </c>
      <c r="D171" s="30" t="s">
        <v>133</v>
      </c>
      <c r="F171" s="62" t="s">
        <v>72</v>
      </c>
      <c r="G171" s="35" t="s">
        <v>133</v>
      </c>
      <c r="H171" s="12"/>
      <c r="I171" s="12"/>
    </row>
    <row r="172" spans="1:12" x14ac:dyDescent="0.35">
      <c r="C172" s="50" t="s">
        <v>59</v>
      </c>
      <c r="D172" s="52">
        <f>L174*(L172+L173)</f>
        <v>14733752429.560617</v>
      </c>
      <c r="F172" s="61" t="s">
        <v>75</v>
      </c>
      <c r="G172" s="28">
        <f>((1+GAGR)^A170)*GAEXP</f>
        <v>590982177.515625</v>
      </c>
      <c r="H172" s="12"/>
      <c r="I172" s="12"/>
      <c r="K172" s="37" t="s">
        <v>61</v>
      </c>
      <c r="L172" s="45">
        <f>((1+USRUSGR)^A170)*$L$4</f>
        <v>66485494.970507815</v>
      </c>
    </row>
    <row r="173" spans="1:12" x14ac:dyDescent="0.35">
      <c r="C173" s="50" t="s">
        <v>65</v>
      </c>
      <c r="D173" s="52">
        <f>L175*L176</f>
        <v>521264790.04695773</v>
      </c>
      <c r="F173" s="61" t="s">
        <v>100</v>
      </c>
      <c r="G173" s="28">
        <f>GAEXP2ND*((1+GA2NDGR)^(A170-1))</f>
        <v>77948684.000000045</v>
      </c>
      <c r="H173" s="12"/>
      <c r="I173" s="12"/>
      <c r="K173" s="37" t="s">
        <v>62</v>
      </c>
      <c r="L173" s="45">
        <f>((1+INTERGR)^A170)*$L$5</f>
        <v>64307664.300000034</v>
      </c>
    </row>
    <row r="174" spans="1:12" x14ac:dyDescent="0.35">
      <c r="C174" s="51" t="s">
        <v>95</v>
      </c>
      <c r="D174" s="52"/>
      <c r="F174" s="61" t="s">
        <v>76</v>
      </c>
      <c r="G174" s="28">
        <f>((1+ADVEXPR)^A170)*ADVEXP</f>
        <v>1529511431.2695301</v>
      </c>
      <c r="H174" s="12"/>
      <c r="I174" s="12"/>
      <c r="K174" s="37" t="s">
        <v>94</v>
      </c>
      <c r="L174" s="45">
        <f>100*(1+INFL)^A170</f>
        <v>112.64925865953057</v>
      </c>
    </row>
    <row r="175" spans="1:12" x14ac:dyDescent="0.35">
      <c r="C175" s="50" t="s">
        <v>61</v>
      </c>
      <c r="D175" s="52">
        <f>L172*L178</f>
        <v>2696235019.2142754</v>
      </c>
      <c r="F175" s="61" t="s">
        <v>114</v>
      </c>
      <c r="G175" s="28">
        <f>SUMMARY!$C$6</f>
        <v>80000000</v>
      </c>
      <c r="H175" s="12"/>
      <c r="I175" s="12"/>
      <c r="K175" s="37" t="s">
        <v>66</v>
      </c>
      <c r="L175" s="45">
        <f>NEWPAR*(1+NEWPARGR)^A170</f>
        <v>9254651.0514094122</v>
      </c>
    </row>
    <row r="176" spans="1:12" x14ac:dyDescent="0.35">
      <c r="C176" s="50" t="s">
        <v>62</v>
      </c>
      <c r="D176" s="52">
        <f>L173*L179</f>
        <v>3477221140.5700626</v>
      </c>
      <c r="F176" s="61"/>
      <c r="G176" s="28"/>
      <c r="H176" s="12"/>
      <c r="I176" s="12"/>
      <c r="K176" s="37" t="s">
        <v>89</v>
      </c>
      <c r="L176" s="45">
        <f>L174/2</f>
        <v>56.324629329765287</v>
      </c>
    </row>
    <row r="177" spans="1:12" x14ac:dyDescent="0.35">
      <c r="C177" s="50" t="s">
        <v>66</v>
      </c>
      <c r="D177" s="52">
        <f>L175*L180</f>
        <v>300248519.06704766</v>
      </c>
      <c r="F177" s="61"/>
      <c r="G177" s="28"/>
      <c r="H177" s="12"/>
      <c r="I177" s="12"/>
      <c r="K177" s="37" t="s">
        <v>96</v>
      </c>
      <c r="L177" s="45">
        <f>L173+L175</f>
        <v>73562315.35140945</v>
      </c>
    </row>
    <row r="178" spans="1:12" x14ac:dyDescent="0.35">
      <c r="C178" s="54" t="s">
        <v>71</v>
      </c>
      <c r="D178" s="55">
        <f>SUM(D172:D177)</f>
        <v>21728721898.458961</v>
      </c>
      <c r="F178" s="63" t="s">
        <v>77</v>
      </c>
      <c r="G178" s="32">
        <f>SUM(G172:G175)</f>
        <v>2278442292.7851553</v>
      </c>
      <c r="H178" s="12"/>
      <c r="I178" s="12"/>
      <c r="K178" s="37" t="s">
        <v>97</v>
      </c>
      <c r="L178" s="45">
        <f>((1+INFL)^A170)*USSC</f>
        <v>40.553733117431008</v>
      </c>
    </row>
    <row r="179" spans="1:12" x14ac:dyDescent="0.35">
      <c r="K179" s="37" t="s">
        <v>98</v>
      </c>
      <c r="L179" s="45">
        <f>((1+INFL)^A170)*INTERSC</f>
        <v>54.071644156574678</v>
      </c>
    </row>
    <row r="180" spans="1:12" x14ac:dyDescent="0.35">
      <c r="C180" s="53" t="s">
        <v>84</v>
      </c>
      <c r="D180" s="30" t="s">
        <v>133</v>
      </c>
      <c r="K180" s="33" t="s">
        <v>99</v>
      </c>
      <c r="L180" s="47">
        <f>0.6*L179</f>
        <v>32.442986493944808</v>
      </c>
    </row>
    <row r="181" spans="1:12" x14ac:dyDescent="0.35">
      <c r="C181" s="50" t="s">
        <v>78</v>
      </c>
      <c r="D181" s="52">
        <f>0.05*D178</f>
        <v>1086436094.9229481</v>
      </c>
      <c r="L181" s="14"/>
    </row>
    <row r="182" spans="1:12" x14ac:dyDescent="0.35">
      <c r="C182" s="50" t="s">
        <v>79</v>
      </c>
      <c r="D182" s="52">
        <f>0.1*D178</f>
        <v>2172872189.8458962</v>
      </c>
      <c r="L182" s="14"/>
    </row>
    <row r="183" spans="1:12" x14ac:dyDescent="0.35">
      <c r="C183" s="64" t="s">
        <v>80</v>
      </c>
      <c r="D183" s="55">
        <f>0.06*D178</f>
        <v>1303723313.9075377</v>
      </c>
      <c r="L183" s="14"/>
    </row>
    <row r="184" spans="1:12" x14ac:dyDescent="0.35">
      <c r="L184" s="14"/>
    </row>
    <row r="185" spans="1:12" x14ac:dyDescent="0.35">
      <c r="C185" s="65" t="s">
        <v>133</v>
      </c>
      <c r="D185" s="66" t="s">
        <v>134</v>
      </c>
      <c r="L185" s="14"/>
    </row>
    <row r="186" spans="1:12" x14ac:dyDescent="0.35">
      <c r="C186" s="50" t="s">
        <v>81</v>
      </c>
      <c r="D186" s="52">
        <f>D178-G178</f>
        <v>19450279605.673805</v>
      </c>
      <c r="L186" s="14"/>
    </row>
    <row r="187" spans="1:12" x14ac:dyDescent="0.35">
      <c r="C187" s="50" t="s">
        <v>69</v>
      </c>
      <c r="D187" s="52">
        <f>D166</f>
        <v>48640000</v>
      </c>
      <c r="L187" s="14"/>
    </row>
    <row r="188" spans="1:12" x14ac:dyDescent="0.35">
      <c r="C188" s="50" t="s">
        <v>67</v>
      </c>
      <c r="D188" s="52">
        <f>D186-D187</f>
        <v>19401639605.673805</v>
      </c>
      <c r="L188" s="14"/>
    </row>
    <row r="189" spans="1:12" x14ac:dyDescent="0.35">
      <c r="C189" s="50" t="s">
        <v>68</v>
      </c>
      <c r="D189" s="52">
        <f>0.1*D188</f>
        <v>1940163960.5673807</v>
      </c>
      <c r="L189" s="14"/>
    </row>
    <row r="190" spans="1:12" x14ac:dyDescent="0.35">
      <c r="C190" s="64" t="s">
        <v>82</v>
      </c>
      <c r="D190" s="67">
        <f>D188-D189</f>
        <v>17461475645.106426</v>
      </c>
      <c r="L190" s="14"/>
    </row>
    <row r="191" spans="1:12" x14ac:dyDescent="0.35">
      <c r="A191">
        <v>9</v>
      </c>
      <c r="B191" t="s">
        <v>108</v>
      </c>
      <c r="L191" s="14"/>
    </row>
    <row r="192" spans="1:12" ht="16" x14ac:dyDescent="0.5">
      <c r="C192" s="53" t="s">
        <v>133</v>
      </c>
      <c r="D192" s="30" t="s">
        <v>134</v>
      </c>
      <c r="F192" s="62" t="s">
        <v>72</v>
      </c>
      <c r="G192" s="35" t="s">
        <v>133</v>
      </c>
      <c r="H192" s="12"/>
      <c r="I192" s="12"/>
    </row>
    <row r="193" spans="3:12" x14ac:dyDescent="0.35">
      <c r="C193" s="49" t="s">
        <v>70</v>
      </c>
      <c r="D193" s="27"/>
      <c r="F193" s="61" t="s">
        <v>75</v>
      </c>
      <c r="G193" s="28">
        <f>((1+GAGR)^A191)*GAEXP</f>
        <v>620531286.3914063</v>
      </c>
      <c r="H193" s="12"/>
      <c r="I193" s="12"/>
      <c r="K193" s="37" t="s">
        <v>61</v>
      </c>
      <c r="L193" s="45">
        <f>((1+USRUSGR)^A191)*USSRPAR</f>
        <v>69809769.719033211</v>
      </c>
    </row>
    <row r="194" spans="3:12" x14ac:dyDescent="0.35">
      <c r="C194" s="50" t="s">
        <v>59</v>
      </c>
      <c r="D194" s="52">
        <f>L195*(L193+L194)</f>
        <v>16070140345.312418</v>
      </c>
      <c r="F194" s="61" t="s">
        <v>100</v>
      </c>
      <c r="G194" s="28">
        <f>GAEXP2ND*((1+GA2NDGR)^(A191-1))</f>
        <v>85743552.400000051</v>
      </c>
      <c r="H194" s="12"/>
      <c r="I194" s="12"/>
      <c r="K194" s="37" t="s">
        <v>62</v>
      </c>
      <c r="L194" s="45">
        <f>((1+INTERGR)^A191)*INTERPARC</f>
        <v>70738430.730000049</v>
      </c>
    </row>
    <row r="195" spans="3:12" x14ac:dyDescent="0.35">
      <c r="C195" s="50" t="s">
        <v>65</v>
      </c>
      <c r="D195" s="52">
        <f>L196*L197</f>
        <v>571410462.84947491</v>
      </c>
      <c r="F195" s="61" t="s">
        <v>76</v>
      </c>
      <c r="G195" s="28">
        <f>((1+ADVEXPR)^A191)*ADVEXP</f>
        <v>1758938145.9599595</v>
      </c>
      <c r="H195" s="12"/>
      <c r="I195" s="12"/>
      <c r="K195" s="37" t="s">
        <v>94</v>
      </c>
      <c r="L195" s="45">
        <f>100*(1+INFL)^A191</f>
        <v>114.33899753942352</v>
      </c>
    </row>
    <row r="196" spans="3:12" x14ac:dyDescent="0.35">
      <c r="C196" s="51" t="s">
        <v>95</v>
      </c>
      <c r="D196" s="52"/>
      <c r="F196" s="61" t="s">
        <v>114</v>
      </c>
      <c r="G196" s="28">
        <f>SUMMARY!$C$6</f>
        <v>80000000</v>
      </c>
      <c r="H196" s="12"/>
      <c r="I196" s="12"/>
      <c r="K196" s="37" t="s">
        <v>66</v>
      </c>
      <c r="L196" s="45">
        <f>NEWPAR*(1+NEWPARGR)^A191</f>
        <v>9995023.1355221644</v>
      </c>
    </row>
    <row r="197" spans="3:12" x14ac:dyDescent="0.35">
      <c r="C197" s="50" t="s">
        <v>61</v>
      </c>
      <c r="D197" s="52">
        <f>L193*L199</f>
        <v>2873512471.7276139</v>
      </c>
      <c r="F197" s="61"/>
      <c r="G197" s="28"/>
      <c r="H197" s="12"/>
      <c r="I197" s="12"/>
      <c r="K197" s="37" t="s">
        <v>89</v>
      </c>
      <c r="L197" s="45">
        <f>L195/2</f>
        <v>57.169498769711758</v>
      </c>
    </row>
    <row r="198" spans="3:12" x14ac:dyDescent="0.35">
      <c r="C198" s="50" t="s">
        <v>62</v>
      </c>
      <c r="D198" s="52">
        <f>L194*L200</f>
        <v>3882317403.446475</v>
      </c>
      <c r="F198" s="61"/>
      <c r="G198" s="28"/>
      <c r="H198" s="12"/>
      <c r="I198" s="12"/>
      <c r="K198" s="37" t="s">
        <v>96</v>
      </c>
      <c r="L198" s="45">
        <f>L194+L196</f>
        <v>80733453.865522206</v>
      </c>
    </row>
    <row r="199" spans="3:12" x14ac:dyDescent="0.35">
      <c r="C199" s="50" t="s">
        <v>66</v>
      </c>
      <c r="D199" s="52">
        <f>L196*L201</f>
        <v>329132426.60129756</v>
      </c>
      <c r="F199" s="61"/>
      <c r="G199" s="28"/>
      <c r="H199" s="12"/>
      <c r="I199" s="12"/>
      <c r="K199" s="37" t="s">
        <v>97</v>
      </c>
      <c r="L199" s="45">
        <f>((1+INFL)^A191)*USSC</f>
        <v>41.162039114192467</v>
      </c>
    </row>
    <row r="200" spans="3:12" x14ac:dyDescent="0.35">
      <c r="C200" s="50" t="s">
        <v>115</v>
      </c>
      <c r="D200" s="52">
        <f>SUMMARY!C5</f>
        <v>200000000</v>
      </c>
      <c r="F200" s="63" t="s">
        <v>77</v>
      </c>
      <c r="G200" s="32">
        <f>SUM(G193:G196)</f>
        <v>2545212984.7513657</v>
      </c>
      <c r="H200" s="12"/>
      <c r="I200" s="12"/>
      <c r="K200" s="37" t="s">
        <v>98</v>
      </c>
      <c r="L200" s="45">
        <f>((1+INFL)^A191)*INTERSC</f>
        <v>54.882718818923287</v>
      </c>
    </row>
    <row r="201" spans="3:12" x14ac:dyDescent="0.35">
      <c r="C201" s="54" t="s">
        <v>71</v>
      </c>
      <c r="D201" s="55">
        <f>SUM(D194:D200)</f>
        <v>23926513109.937283</v>
      </c>
      <c r="K201" s="33" t="s">
        <v>99</v>
      </c>
      <c r="L201" s="47">
        <f>0.6*L200</f>
        <v>32.929631291353971</v>
      </c>
    </row>
    <row r="202" spans="3:12" x14ac:dyDescent="0.35">
      <c r="C202" s="53" t="s">
        <v>84</v>
      </c>
      <c r="D202" s="30" t="s">
        <v>133</v>
      </c>
    </row>
    <row r="203" spans="3:12" x14ac:dyDescent="0.35">
      <c r="C203" s="50" t="s">
        <v>78</v>
      </c>
      <c r="D203" s="52">
        <f>0.05*D201</f>
        <v>1196325655.4968641</v>
      </c>
    </row>
    <row r="204" spans="3:12" x14ac:dyDescent="0.35">
      <c r="C204" s="50" t="s">
        <v>79</v>
      </c>
      <c r="D204" s="52">
        <f>0.1*D201</f>
        <v>2392651310.9937282</v>
      </c>
    </row>
    <row r="205" spans="3:12" x14ac:dyDescent="0.35">
      <c r="C205" s="64" t="s">
        <v>80</v>
      </c>
      <c r="D205" s="55">
        <f>0.06*D201</f>
        <v>1435590786.5962369</v>
      </c>
    </row>
    <row r="207" spans="3:12" x14ac:dyDescent="0.35">
      <c r="C207" s="65" t="s">
        <v>133</v>
      </c>
      <c r="D207" s="66" t="s">
        <v>134</v>
      </c>
    </row>
    <row r="208" spans="3:12" x14ac:dyDescent="0.35">
      <c r="C208" s="50" t="s">
        <v>81</v>
      </c>
      <c r="D208" s="52">
        <f>D201-G200</f>
        <v>21381300125.185917</v>
      </c>
    </row>
    <row r="209" spans="3:4" x14ac:dyDescent="0.35">
      <c r="C209" s="50" t="s">
        <v>69</v>
      </c>
      <c r="D209" s="52">
        <f>D187</f>
        <v>48640000</v>
      </c>
    </row>
    <row r="210" spans="3:4" x14ac:dyDescent="0.35">
      <c r="C210" s="50" t="s">
        <v>67</v>
      </c>
      <c r="D210" s="52">
        <f>D208-D209</f>
        <v>21332660125.185917</v>
      </c>
    </row>
    <row r="211" spans="3:4" x14ac:dyDescent="0.35">
      <c r="C211" s="50" t="s">
        <v>68</v>
      </c>
      <c r="D211" s="52">
        <f>0.1*D210</f>
        <v>2133266012.5185919</v>
      </c>
    </row>
    <row r="212" spans="3:4" x14ac:dyDescent="0.35">
      <c r="C212" s="64" t="s">
        <v>82</v>
      </c>
      <c r="D212" s="67">
        <f>D210-D211</f>
        <v>19199394112.667324</v>
      </c>
    </row>
  </sheetData>
  <pageMargins left="0.7" right="0.7" top="0.75" bottom="0.75" header="0.3" footer="0.3"/>
  <pageSetup orientation="portrait" r:id="rId1"/>
  <drawing r:id="rId2"/>
  <tableParts count="49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3E610-69DF-4BB4-8080-36D439B8375B}">
  <dimension ref="A2:M56"/>
  <sheetViews>
    <sheetView topLeftCell="A35" zoomScale="90" zoomScaleNormal="90" workbookViewId="0">
      <selection activeCell="F7" sqref="F7"/>
    </sheetView>
  </sheetViews>
  <sheetFormatPr defaultRowHeight="14.5" x14ac:dyDescent="0.35"/>
  <cols>
    <col min="1" max="1" width="10.36328125" customWidth="1"/>
    <col min="2" max="2" width="17.08984375" customWidth="1"/>
    <col min="3" max="3" width="19.90625" bestFit="1" customWidth="1"/>
    <col min="4" max="4" width="18.453125" bestFit="1" customWidth="1"/>
    <col min="5" max="5" width="21.54296875" customWidth="1"/>
    <col min="7" max="7" width="11.81640625" bestFit="1" customWidth="1"/>
    <col min="8" max="8" width="10.81640625" bestFit="1" customWidth="1"/>
    <col min="9" max="9" width="16.453125" customWidth="1"/>
    <col min="10" max="10" width="22.36328125" customWidth="1"/>
    <col min="11" max="11" width="21.26953125" customWidth="1"/>
    <col min="12" max="12" width="25.08984375" customWidth="1"/>
    <col min="13" max="13" width="44.7265625" customWidth="1"/>
  </cols>
  <sheetData>
    <row r="2" spans="1:13" x14ac:dyDescent="0.35">
      <c r="F2" s="89"/>
      <c r="M2" s="23">
        <v>4.6881394770774703E+33</v>
      </c>
    </row>
    <row r="3" spans="1:13" x14ac:dyDescent="0.35">
      <c r="A3" s="37"/>
      <c r="B3" s="3"/>
      <c r="C3" s="3" t="s">
        <v>116</v>
      </c>
      <c r="D3" s="3"/>
      <c r="E3" s="27"/>
      <c r="F3" s="23">
        <v>0.11</v>
      </c>
      <c r="H3" s="37"/>
      <c r="I3" s="3"/>
      <c r="J3" s="3" t="s">
        <v>121</v>
      </c>
      <c r="K3" s="3"/>
      <c r="L3" s="27"/>
    </row>
    <row r="4" spans="1:13" x14ac:dyDescent="0.35">
      <c r="A4" s="37"/>
      <c r="B4" s="3"/>
      <c r="C4" s="3" t="s">
        <v>70</v>
      </c>
      <c r="D4" s="3" t="s">
        <v>72</v>
      </c>
      <c r="E4" s="27"/>
      <c r="H4" s="37"/>
      <c r="I4" s="3"/>
      <c r="J4" s="3" t="s">
        <v>70</v>
      </c>
      <c r="K4" s="3" t="s">
        <v>72</v>
      </c>
      <c r="L4" s="27"/>
    </row>
    <row r="5" spans="1:13" x14ac:dyDescent="0.35">
      <c r="A5" s="37">
        <v>0</v>
      </c>
      <c r="B5" s="3" t="s">
        <v>83</v>
      </c>
      <c r="C5" s="4">
        <f>'AFTER TAX INCREMENTAL CASH FLOW'!D10*((1/(1+$F$2))^A5)</f>
        <v>10954000000</v>
      </c>
      <c r="D5" s="4">
        <f>'AFTER TAX INCREMENTAL CASH FLOW'!G10/((1+$F$2)^A5)</f>
        <v>2130000000</v>
      </c>
      <c r="E5" s="52">
        <f>C5-D5</f>
        <v>8824000000</v>
      </c>
      <c r="H5" s="37">
        <v>0</v>
      </c>
      <c r="I5" s="3" t="s">
        <v>83</v>
      </c>
      <c r="J5" s="4">
        <f>'AFTER TAX INCREMENTAL CASH FLOW'!D10</f>
        <v>10954000000</v>
      </c>
      <c r="K5" s="24">
        <f>'AFTER TAX INCREMENTAL CASH FLOW'!G10</f>
        <v>2130000000</v>
      </c>
      <c r="L5" s="52">
        <f>J5-K5</f>
        <v>8824000000</v>
      </c>
    </row>
    <row r="6" spans="1:13" x14ac:dyDescent="0.35">
      <c r="A6" s="37">
        <v>1</v>
      </c>
      <c r="B6" s="3" t="s">
        <v>86</v>
      </c>
      <c r="C6" s="4">
        <f>'AFTER TAX INCREMENTAL CASH FLOW'!D31*((1/(1+$F$2))^A6)</f>
        <v>11911552800</v>
      </c>
      <c r="D6" s="4">
        <f>'AFTER TAX INCREMENTAL CASH FLOW'!G31/((1+F2)^A6)</f>
        <v>1115000000</v>
      </c>
      <c r="E6" s="52">
        <f>(C6-D6)</f>
        <v>10796552800</v>
      </c>
      <c r="H6" s="37">
        <v>1</v>
      </c>
      <c r="I6" s="3" t="s">
        <v>86</v>
      </c>
      <c r="J6" s="4">
        <f>'AFTER TAX INCREMENTAL CASH FLOW'!D31/((1+M2)^H6)</f>
        <v>2.5407846456448685E-24</v>
      </c>
      <c r="K6" s="4">
        <f>'AFTER TAX INCREMENTAL CASH FLOW'!G31/((1+M2)^H6)</f>
        <v>2.3783422089973261E-25</v>
      </c>
      <c r="L6" s="52">
        <f t="shared" ref="L6:L14" si="0">J6-K6</f>
        <v>2.3029504247451358E-24</v>
      </c>
    </row>
    <row r="7" spans="1:13" x14ac:dyDescent="0.35">
      <c r="A7" s="37">
        <v>2</v>
      </c>
      <c r="B7" s="3" t="s">
        <v>117</v>
      </c>
      <c r="C7" s="4">
        <f>'AFTER TAX INCREMENTAL CASH FLOW'!D52/((1+$F$2)^A7)</f>
        <v>12959469781.859999</v>
      </c>
      <c r="D7" s="4">
        <f>'AFTER TAX INCREMENTAL CASH FLOW'!G52/((1+$F$2)^A7)</f>
        <v>1226250000</v>
      </c>
      <c r="E7" s="52">
        <f t="shared" ref="E7:E13" si="1">C7-D7</f>
        <v>11733219781.859999</v>
      </c>
      <c r="H7" s="37">
        <v>2</v>
      </c>
      <c r="I7" s="3" t="s">
        <v>117</v>
      </c>
      <c r="J7" s="4">
        <f>'AFTER TAX INCREMENTAL CASH FLOW'!D52/((1+M2)^H7)</f>
        <v>5.8963897901555078E-58</v>
      </c>
      <c r="K7" s="24">
        <f>'AFTER TAX INCREMENTAL CASH FLOW'!G52/((1+M2)^H7)</f>
        <v>5.5792776262335995E-59</v>
      </c>
      <c r="L7" s="52">
        <f t="shared" si="0"/>
        <v>5.3384620275321477E-58</v>
      </c>
    </row>
    <row r="8" spans="1:13" x14ac:dyDescent="0.35">
      <c r="A8" s="37">
        <v>3</v>
      </c>
      <c r="B8" s="3" t="s">
        <v>102</v>
      </c>
      <c r="C8" s="4">
        <f>'AFTER TAX INCREMENTAL CASH FLOW'!D73/((1+F2)^A8)</f>
        <v>14106861653.922806</v>
      </c>
      <c r="D8" s="4">
        <f>'AFTER TAX INCREMENTAL CASH FLOW'!G73/((1+F2)^A8)</f>
        <v>1351887499.9999998</v>
      </c>
      <c r="E8" s="52">
        <f t="shared" si="1"/>
        <v>12754974153.922806</v>
      </c>
      <c r="H8" s="37">
        <v>3</v>
      </c>
      <c r="I8" s="3" t="s">
        <v>102</v>
      </c>
      <c r="J8" s="4">
        <f>'AFTER TAX INCREMENTAL CASH FLOW'!D73/((1+M2)^H8)</f>
        <v>1.369080029310607E-91</v>
      </c>
      <c r="K8" s="4">
        <f>'AFTER TAX INCREMENTAL CASH FLOW'!G73/((1+M2)^H8)</f>
        <v>1.3120155450095908E-92</v>
      </c>
      <c r="L8" s="52">
        <f t="shared" si="0"/>
        <v>1.2378784748096479E-91</v>
      </c>
    </row>
    <row r="9" spans="1:13" x14ac:dyDescent="0.35">
      <c r="A9" s="37">
        <v>4</v>
      </c>
      <c r="B9" s="3" t="s">
        <v>103</v>
      </c>
      <c r="C9" s="4">
        <f>'AFTER TAX INCREMENTAL CASH FLOW'!D94/((1+F2)^A9)</f>
        <v>15363805118.914825</v>
      </c>
      <c r="D9" s="4">
        <f>'AFTER TAX INCREMENTAL CASH FLOW'!G94/((1+F2)^A9)</f>
        <v>2130763755.3749995</v>
      </c>
      <c r="E9" s="52">
        <f t="shared" si="1"/>
        <v>13233041363.539825</v>
      </c>
      <c r="H9" s="37">
        <v>4</v>
      </c>
      <c r="I9" s="3" t="s">
        <v>103</v>
      </c>
      <c r="J9" s="4">
        <f>'AFTER TAX INCREMENTAL CASH FLOW'!D94/((1+M2)^H9)</f>
        <v>3.1805094776284344E-125</v>
      </c>
      <c r="K9" s="4">
        <f>'AFTER TAX INCREMENTAL CASH FLOW'!G94/((1+M2)^H9)</f>
        <v>4.4109608694620094E-126</v>
      </c>
      <c r="L9" s="52">
        <f t="shared" si="0"/>
        <v>2.7394133906822336E-125</v>
      </c>
    </row>
    <row r="10" spans="1:13" x14ac:dyDescent="0.35">
      <c r="A10" s="37">
        <v>5</v>
      </c>
      <c r="B10" s="3" t="s">
        <v>104</v>
      </c>
      <c r="C10" s="4">
        <f>'AFTER TAX INCREMENTAL CASH FLOW'!D115/((1+F2)^A10)</f>
        <v>16741448922.712713</v>
      </c>
      <c r="D10" s="4">
        <f>'AFTER TAX INCREMENTAL CASH FLOW'!G115/((1+F2)^A10)</f>
        <v>1654755218.7499998</v>
      </c>
      <c r="E10" s="52">
        <f t="shared" si="1"/>
        <v>15086693703.962713</v>
      </c>
      <c r="H10" s="37">
        <v>5</v>
      </c>
      <c r="I10" s="3" t="s">
        <v>104</v>
      </c>
      <c r="J10" s="4">
        <f>'AFTER TAX INCREMENTAL CASH FLOW'!D115/((1+M2)^H10)</f>
        <v>7.3924844996732066E-159</v>
      </c>
      <c r="K10" s="4">
        <f>'AFTER TAX INCREMENTAL CASH FLOW'!G115/((1+M2)^H10)</f>
        <v>7.3068659480045625E-160</v>
      </c>
      <c r="L10" s="52">
        <f t="shared" si="0"/>
        <v>6.6617979048727504E-159</v>
      </c>
    </row>
    <row r="11" spans="1:13" x14ac:dyDescent="0.35">
      <c r="A11" s="37">
        <v>6</v>
      </c>
      <c r="B11" s="3" t="s">
        <v>105</v>
      </c>
      <c r="C11" s="4">
        <f>'AFTER TAX INCREMENTAL CASH FLOW'!D136/((1+F2)^A11)</f>
        <v>18252131810.243118</v>
      </c>
      <c r="D11" s="4">
        <f>'AFTER TAX INCREMENTAL CASH FLOW'!G136/((1+F2)^A11)</f>
        <v>1836989039.0624995</v>
      </c>
      <c r="E11" s="52">
        <f t="shared" si="1"/>
        <v>16415142771.180618</v>
      </c>
      <c r="H11" s="37">
        <v>6</v>
      </c>
      <c r="I11" s="3" t="s">
        <v>105</v>
      </c>
      <c r="J11" s="4">
        <f>'AFTER TAX INCREMENTAL CASH FLOW'!D136/((1+M2)^H11)</f>
        <v>1.7191368631130029E-192</v>
      </c>
      <c r="K11" s="4">
        <f>'AFTER TAX INCREMENTAL CASH FLOW'!G136/((1+M2)^H11)</f>
        <v>1.7302283410064909E-193</v>
      </c>
      <c r="L11" s="52">
        <f t="shared" si="0"/>
        <v>1.5461140290123539E-192</v>
      </c>
    </row>
    <row r="12" spans="1:13" x14ac:dyDescent="0.35">
      <c r="A12" s="37">
        <v>7</v>
      </c>
      <c r="B12" s="3" t="s">
        <v>118</v>
      </c>
      <c r="C12" s="4">
        <f>'AFTER TAX INCREMENTAL CASH FLOW'!D157/((1+F2)^A12)</f>
        <v>19909513744.26379</v>
      </c>
      <c r="D12" s="4">
        <f>'AFTER TAX INCREMENTAL CASH FLOW'!G157/((1+F2)^A12)</f>
        <v>2043712549.296874</v>
      </c>
      <c r="E12" s="52">
        <f t="shared" si="1"/>
        <v>17865801194.966915</v>
      </c>
      <c r="H12" s="37">
        <v>7</v>
      </c>
      <c r="I12" s="3" t="s">
        <v>118</v>
      </c>
      <c r="J12" s="4">
        <f>'AFTER TAX INCREMENTAL CASH FLOW'!D157/((1+M2)^H12)</f>
        <v>3.9999723183601228E-226</v>
      </c>
      <c r="K12" s="4">
        <f>'AFTER TAX INCREMENTAL CASH FLOW'!G157/((1+M2)^H12)</f>
        <v>4.105973520437166E-227</v>
      </c>
      <c r="L12" s="52">
        <f t="shared" si="0"/>
        <v>3.5893749663164059E-226</v>
      </c>
    </row>
    <row r="13" spans="1:13" x14ac:dyDescent="0.35">
      <c r="A13" s="37">
        <v>8</v>
      </c>
      <c r="B13" s="3" t="s">
        <v>119</v>
      </c>
      <c r="C13" s="4">
        <f>'AFTER TAX INCREMENTAL CASH FLOW'!D178/((1+F2)^A13)</f>
        <v>21728721898.458961</v>
      </c>
      <c r="D13" s="4">
        <f>'AFTER TAX INCREMENTAL CASH FLOW'!G178/((1+F2)^A13)</f>
        <v>2278442292.7851553</v>
      </c>
      <c r="E13" s="52">
        <f t="shared" si="1"/>
        <v>19450279605.673805</v>
      </c>
      <c r="H13" s="37">
        <v>8</v>
      </c>
      <c r="I13" s="3" t="s">
        <v>119</v>
      </c>
      <c r="J13" s="4">
        <f>'AFTER TAX INCREMENTAL CASH FLOW'!D178/((1+M2)^H13)</f>
        <v>9.3117217522653941E-260</v>
      </c>
      <c r="K13" s="4">
        <f>'AFTER TAX INCREMENTAL CASH FLOW'!G178/((1+M2)^H13)</f>
        <v>9.76413650013794E-261</v>
      </c>
      <c r="L13" s="52">
        <f t="shared" si="0"/>
        <v>8.3353081022515995E-260</v>
      </c>
    </row>
    <row r="14" spans="1:13" x14ac:dyDescent="0.35">
      <c r="A14" s="37">
        <v>9</v>
      </c>
      <c r="B14" s="3" t="s">
        <v>108</v>
      </c>
      <c r="C14" s="4">
        <f>'AFTER TAX INCREMENTAL CASH FLOW'!D201/((1+F2)^A14)</f>
        <v>23926513109.937283</v>
      </c>
      <c r="D14" s="4">
        <f>'AFTER TAX INCREMENTAL CASH FLOW'!G200/((1+F2)^A14)</f>
        <v>2545212984.7513657</v>
      </c>
      <c r="E14" s="52">
        <f>C14-D14</f>
        <v>21381300125.185917</v>
      </c>
      <c r="H14" s="37">
        <v>9</v>
      </c>
      <c r="I14" s="3" t="s">
        <v>108</v>
      </c>
      <c r="J14" s="4">
        <f>'AFTER TAX INCREMENTAL CASH FLOW'!D201/((1+M2)^H14)</f>
        <v>2.1871304990849084E-293</v>
      </c>
      <c r="K14" s="4">
        <f>'AFTER TAX INCREMENTAL CASH FLOW'!G200/((1+M2)^H14)</f>
        <v>2.3265876310680005E-294</v>
      </c>
      <c r="L14" s="52">
        <f t="shared" si="0"/>
        <v>1.9544717359781082E-293</v>
      </c>
    </row>
    <row r="15" spans="1:13" x14ac:dyDescent="0.35">
      <c r="A15" s="37"/>
      <c r="B15" s="84" t="s">
        <v>84</v>
      </c>
      <c r="C15" s="4"/>
      <c r="D15" s="4"/>
      <c r="E15" s="52"/>
      <c r="H15" s="37"/>
      <c r="I15" s="84" t="s">
        <v>84</v>
      </c>
      <c r="J15" s="4"/>
      <c r="K15" s="4"/>
      <c r="L15" s="52"/>
    </row>
    <row r="16" spans="1:13" x14ac:dyDescent="0.35">
      <c r="A16" s="37"/>
      <c r="B16" s="3"/>
      <c r="C16" s="4">
        <f>SUM('AFTER TAX INCREMENTAL CASH FLOW'!D203:D205)/((1+F2)^A14)</f>
        <v>5024567753.0868292</v>
      </c>
      <c r="D16" s="4"/>
      <c r="E16" s="52">
        <f>C16</f>
        <v>5024567753.0868292</v>
      </c>
      <c r="H16" s="37"/>
      <c r="I16" s="3"/>
      <c r="J16" s="4">
        <f>SUM('AFTER TAX INCREMENTAL CASH FLOW'!D203:D205)/((1+M2)^H14)</f>
        <v>4.5929740480783074E-294</v>
      </c>
      <c r="K16" s="4"/>
      <c r="L16" s="52">
        <f>J16</f>
        <v>4.5929740480783074E-294</v>
      </c>
    </row>
    <row r="17" spans="1:12" x14ac:dyDescent="0.35">
      <c r="A17" s="37"/>
      <c r="B17" s="84" t="s">
        <v>122</v>
      </c>
      <c r="C17" s="4"/>
      <c r="D17" s="4"/>
      <c r="E17" s="52"/>
      <c r="H17" s="37"/>
      <c r="I17" s="84" t="s">
        <v>122</v>
      </c>
      <c r="J17" s="4"/>
      <c r="K17" s="4"/>
      <c r="L17" s="52"/>
    </row>
    <row r="18" spans="1:12" x14ac:dyDescent="0.35">
      <c r="A18" s="37"/>
      <c r="B18" s="3"/>
      <c r="C18" s="4">
        <f>'AFTER TAX INCREMENTAL CASH FLOW'!G91/((1+F2)^A14)</f>
        <v>636818130.37499964</v>
      </c>
      <c r="D18" s="4"/>
      <c r="E18" s="52">
        <f>C18</f>
        <v>636818130.37499964</v>
      </c>
      <c r="H18" s="37"/>
      <c r="I18" s="3"/>
      <c r="J18" s="4">
        <f>'AFTER TAX INCREMENTAL CASH FLOW'!G91/((1+M2)^H14)</f>
        <v>5.8211756511019758E-295</v>
      </c>
      <c r="K18" s="4"/>
      <c r="L18" s="52">
        <f>J18</f>
        <v>5.8211756511019758E-295</v>
      </c>
    </row>
    <row r="19" spans="1:12" x14ac:dyDescent="0.35">
      <c r="A19" s="33"/>
      <c r="B19" s="38"/>
      <c r="C19" s="38"/>
      <c r="D19" s="86" t="s">
        <v>120</v>
      </c>
      <c r="E19" s="87">
        <f>SUM(E5:E18)</f>
        <v>153202391383.75443</v>
      </c>
      <c r="H19" s="33"/>
      <c r="I19" s="38"/>
      <c r="J19" s="88"/>
      <c r="K19" s="88" t="s">
        <v>120</v>
      </c>
      <c r="L19" s="55">
        <f>SUM(L5:L18)</f>
        <v>8824000000</v>
      </c>
    </row>
    <row r="20" spans="1:12" x14ac:dyDescent="0.35">
      <c r="F20" s="89"/>
    </row>
    <row r="21" spans="1:12" x14ac:dyDescent="0.35">
      <c r="A21" s="37"/>
      <c r="B21" s="3"/>
      <c r="C21" s="5" t="s">
        <v>123</v>
      </c>
      <c r="D21" s="5"/>
      <c r="E21" s="85"/>
      <c r="F21" s="23">
        <v>0.1</v>
      </c>
    </row>
    <row r="22" spans="1:12" x14ac:dyDescent="0.35">
      <c r="A22" s="37"/>
      <c r="B22" s="3"/>
      <c r="C22" s="3" t="s">
        <v>70</v>
      </c>
      <c r="D22" s="3" t="s">
        <v>72</v>
      </c>
      <c r="E22" s="27"/>
    </row>
    <row r="23" spans="1:12" x14ac:dyDescent="0.35">
      <c r="A23" s="37">
        <v>0</v>
      </c>
      <c r="B23" s="3" t="s">
        <v>83</v>
      </c>
      <c r="C23" s="4">
        <f>'AFTER TAX INCREMENTAL CASH FLOW'!$D$10*((1/(1+F20))^A23)</f>
        <v>10954000000</v>
      </c>
      <c r="D23" s="4">
        <f>'AFTER TAX INCREMENTAL CASH FLOW'!$G$10/((1+F20)^A23)</f>
        <v>2130000000</v>
      </c>
      <c r="E23" s="52">
        <f>C23-D23</f>
        <v>8824000000</v>
      </c>
    </row>
    <row r="24" spans="1:12" x14ac:dyDescent="0.35">
      <c r="A24" s="37">
        <v>1</v>
      </c>
      <c r="B24" s="3" t="s">
        <v>86</v>
      </c>
      <c r="C24" s="4">
        <f>'AFTER TAX INCREMENTAL CASH FLOW'!$D$31*((1/(1+$F$2))^A24)</f>
        <v>11911552800</v>
      </c>
      <c r="D24" s="4">
        <f>'AFTER TAX INCREMENTAL CASH FLOW'!$G$31/((1+F20)^A24)</f>
        <v>1115000000</v>
      </c>
      <c r="E24" s="52">
        <f>(C24-D24)</f>
        <v>10796552800</v>
      </c>
    </row>
    <row r="25" spans="1:12" x14ac:dyDescent="0.35">
      <c r="A25" s="37">
        <v>2</v>
      </c>
      <c r="B25" s="3" t="s">
        <v>117</v>
      </c>
      <c r="C25" s="4">
        <f>'AFTER TAX INCREMENTAL CASH FLOW'!$D$52/((1+$F$2)^A25)</f>
        <v>12959469781.859999</v>
      </c>
      <c r="D25" s="4">
        <f>'AFTER TAX INCREMENTAL CASH FLOW'!$G$52/((1+$F$2)^A25)</f>
        <v>1226250000</v>
      </c>
      <c r="E25" s="52">
        <f t="shared" ref="E25:E31" si="2">C25-D25</f>
        <v>11733219781.859999</v>
      </c>
    </row>
    <row r="26" spans="1:12" x14ac:dyDescent="0.35">
      <c r="A26" s="37">
        <v>3</v>
      </c>
      <c r="B26" s="3" t="s">
        <v>102</v>
      </c>
      <c r="C26" s="4">
        <f>'AFTER TAX INCREMENTAL CASH FLOW'!$D$73/((1+F20)^A26)</f>
        <v>14106861653.922806</v>
      </c>
      <c r="D26" s="4">
        <f>'AFTER TAX INCREMENTAL CASH FLOW'!$G$73/((1+F20)^A26)</f>
        <v>1351887499.9999998</v>
      </c>
      <c r="E26" s="52">
        <f t="shared" si="2"/>
        <v>12754974153.922806</v>
      </c>
    </row>
    <row r="27" spans="1:12" x14ac:dyDescent="0.35">
      <c r="A27" s="37">
        <v>4</v>
      </c>
      <c r="B27" s="3" t="s">
        <v>103</v>
      </c>
      <c r="C27" s="4">
        <f>'AFTER TAX INCREMENTAL CASH FLOW'!$D$94/((1+F20)^A27)</f>
        <v>15363805118.914825</v>
      </c>
      <c r="D27" s="4">
        <f>'AFTER TAX INCREMENTAL CASH FLOW'!$G$94/((1+F20)^A27)</f>
        <v>2130763755.3749995</v>
      </c>
      <c r="E27" s="52">
        <f t="shared" si="2"/>
        <v>13233041363.539825</v>
      </c>
    </row>
    <row r="28" spans="1:12" x14ac:dyDescent="0.35">
      <c r="A28" s="37">
        <v>5</v>
      </c>
      <c r="B28" s="3" t="s">
        <v>104</v>
      </c>
      <c r="C28" s="4">
        <f>'AFTER TAX INCREMENTAL CASH FLOW'!$D$115/((1+F20)^A28)</f>
        <v>16741448922.712713</v>
      </c>
      <c r="D28" s="4">
        <f>'AFTER TAX INCREMENTAL CASH FLOW'!$G$115/((1+F20)^A28)</f>
        <v>1654755218.7499998</v>
      </c>
      <c r="E28" s="52">
        <f t="shared" si="2"/>
        <v>15086693703.962713</v>
      </c>
    </row>
    <row r="29" spans="1:12" x14ac:dyDescent="0.35">
      <c r="A29" s="37">
        <v>6</v>
      </c>
      <c r="B29" s="3" t="s">
        <v>105</v>
      </c>
      <c r="C29" s="4">
        <f>'AFTER TAX INCREMENTAL CASH FLOW'!$D$136/((1+F20)^A29)</f>
        <v>18252131810.243118</v>
      </c>
      <c r="D29" s="4">
        <f>'AFTER TAX INCREMENTAL CASH FLOW'!$G$136/((1+F20)^A29)</f>
        <v>1836989039.0624995</v>
      </c>
      <c r="E29" s="52">
        <f t="shared" si="2"/>
        <v>16415142771.180618</v>
      </c>
    </row>
    <row r="30" spans="1:12" x14ac:dyDescent="0.35">
      <c r="A30" s="37">
        <v>7</v>
      </c>
      <c r="B30" s="3" t="s">
        <v>118</v>
      </c>
      <c r="C30" s="4">
        <f>'AFTER TAX INCREMENTAL CASH FLOW'!$D$157/((1+F20)^A30)</f>
        <v>19909513744.26379</v>
      </c>
      <c r="D30" s="4">
        <f>'AFTER TAX INCREMENTAL CASH FLOW'!$G$157/((1+F20)^A30)</f>
        <v>2043712549.296874</v>
      </c>
      <c r="E30" s="52">
        <f t="shared" si="2"/>
        <v>17865801194.966915</v>
      </c>
    </row>
    <row r="31" spans="1:12" x14ac:dyDescent="0.35">
      <c r="A31" s="37">
        <v>8</v>
      </c>
      <c r="B31" s="3" t="s">
        <v>119</v>
      </c>
      <c r="C31" s="4">
        <f>'AFTER TAX INCREMENTAL CASH FLOW'!$D$178/((1+F20)^A31)</f>
        <v>21728721898.458961</v>
      </c>
      <c r="D31" s="4">
        <f>'AFTER TAX INCREMENTAL CASH FLOW'!$G$178/((1+F20)^A31)</f>
        <v>2278442292.7851553</v>
      </c>
      <c r="E31" s="52">
        <f t="shared" si="2"/>
        <v>19450279605.673805</v>
      </c>
    </row>
    <row r="32" spans="1:12" x14ac:dyDescent="0.35">
      <c r="A32" s="37">
        <v>9</v>
      </c>
      <c r="B32" s="3" t="s">
        <v>108</v>
      </c>
      <c r="C32" s="4">
        <f>'AFTER TAX INCREMENTAL CASH FLOW'!$D$201/((1+F20)^A32)</f>
        <v>23926513109.937283</v>
      </c>
      <c r="D32" s="4">
        <f>'AFTER TAX INCREMENTAL CASH FLOW'!$G$200/((1+F20)^A32)</f>
        <v>2545212984.7513657</v>
      </c>
      <c r="E32" s="52">
        <f>C32-D32</f>
        <v>21381300125.185917</v>
      </c>
    </row>
    <row r="33" spans="1:6" x14ac:dyDescent="0.35">
      <c r="A33" s="37"/>
      <c r="B33" s="84" t="s">
        <v>84</v>
      </c>
      <c r="C33" s="4"/>
      <c r="D33" s="4"/>
      <c r="E33" s="52"/>
    </row>
    <row r="34" spans="1:6" x14ac:dyDescent="0.35">
      <c r="A34" s="37"/>
      <c r="B34" s="3"/>
      <c r="C34" s="4">
        <f>SUM('AFTER TAX INCREMENTAL CASH FLOW'!$D$203:$D$205)/((1+F20)^A32)</f>
        <v>5024567753.0868292</v>
      </c>
      <c r="D34" s="4"/>
      <c r="E34" s="52">
        <f>C34</f>
        <v>5024567753.0868292</v>
      </c>
    </row>
    <row r="35" spans="1:6" x14ac:dyDescent="0.35">
      <c r="A35" s="37"/>
      <c r="B35" s="84" t="s">
        <v>122</v>
      </c>
      <c r="C35" s="4"/>
      <c r="D35" s="4"/>
      <c r="E35" s="52"/>
    </row>
    <row r="36" spans="1:6" x14ac:dyDescent="0.35">
      <c r="A36" s="37"/>
      <c r="B36" s="3"/>
      <c r="C36" s="4">
        <f>'AFTER TAX INCREMENTAL CASH FLOW'!$G$91/((1+F20)^A32)</f>
        <v>636818130.37499964</v>
      </c>
      <c r="D36" s="4"/>
      <c r="E36" s="52">
        <f>C36</f>
        <v>636818130.37499964</v>
      </c>
    </row>
    <row r="37" spans="1:6" x14ac:dyDescent="0.35">
      <c r="A37" s="33"/>
      <c r="B37" s="38"/>
      <c r="C37" s="38"/>
      <c r="D37" s="86" t="s">
        <v>120</v>
      </c>
      <c r="E37" s="87">
        <f>SUM(E23:E36)</f>
        <v>153202391383.75443</v>
      </c>
    </row>
    <row r="38" spans="1:6" x14ac:dyDescent="0.35">
      <c r="F38" s="89"/>
    </row>
    <row r="39" spans="1:6" x14ac:dyDescent="0.35">
      <c r="A39" s="37"/>
      <c r="B39" s="3"/>
      <c r="C39" s="5" t="s">
        <v>123</v>
      </c>
      <c r="D39" s="5"/>
      <c r="E39" s="85"/>
      <c r="F39" s="23">
        <v>0.15</v>
      </c>
    </row>
    <row r="40" spans="1:6" x14ac:dyDescent="0.35">
      <c r="A40" s="37"/>
      <c r="B40" s="3"/>
      <c r="C40" s="3" t="s">
        <v>70</v>
      </c>
      <c r="D40" s="3" t="s">
        <v>72</v>
      </c>
      <c r="E40" s="27"/>
    </row>
    <row r="41" spans="1:6" x14ac:dyDescent="0.35">
      <c r="A41" s="37">
        <v>0</v>
      </c>
      <c r="B41" s="3" t="s">
        <v>83</v>
      </c>
      <c r="C41" s="4">
        <f>'AFTER TAX INCREMENTAL CASH FLOW'!$D$10*((1/(1+F38))^A41)</f>
        <v>10954000000</v>
      </c>
      <c r="D41" s="4">
        <f>'AFTER TAX INCREMENTAL CASH FLOW'!$G$10/((1+F38)^A41)</f>
        <v>2130000000</v>
      </c>
      <c r="E41" s="52">
        <f>C41-D41</f>
        <v>8824000000</v>
      </c>
    </row>
    <row r="42" spans="1:6" x14ac:dyDescent="0.35">
      <c r="A42" s="37">
        <v>1</v>
      </c>
      <c r="B42" s="3" t="s">
        <v>86</v>
      </c>
      <c r="C42" s="4">
        <f>'AFTER TAX INCREMENTAL CASH FLOW'!$D$31*((1/(1+$F$2))^A42)</f>
        <v>11911552800</v>
      </c>
      <c r="D42" s="4">
        <f>'AFTER TAX INCREMENTAL CASH FLOW'!$G$31/((1+F38)^A42)</f>
        <v>1115000000</v>
      </c>
      <c r="E42" s="52">
        <f>(C42-D42)</f>
        <v>10796552800</v>
      </c>
    </row>
    <row r="43" spans="1:6" x14ac:dyDescent="0.35">
      <c r="A43" s="37">
        <v>2</v>
      </c>
      <c r="B43" s="3" t="s">
        <v>117</v>
      </c>
      <c r="C43" s="4">
        <f>'AFTER TAX INCREMENTAL CASH FLOW'!$D$52/((1+$F$2)^A43)</f>
        <v>12959469781.859999</v>
      </c>
      <c r="D43" s="4">
        <f>'AFTER TAX INCREMENTAL CASH FLOW'!$G$52/((1+$F$2)^A43)</f>
        <v>1226250000</v>
      </c>
      <c r="E43" s="52">
        <f t="shared" ref="E43:E49" si="3">C43-D43</f>
        <v>11733219781.859999</v>
      </c>
    </row>
    <row r="44" spans="1:6" x14ac:dyDescent="0.35">
      <c r="A44" s="37">
        <v>3</v>
      </c>
      <c r="B44" s="3" t="s">
        <v>102</v>
      </c>
      <c r="C44" s="4">
        <f>'AFTER TAX INCREMENTAL CASH FLOW'!$D$73/((1+F38)^A44)</f>
        <v>14106861653.922806</v>
      </c>
      <c r="D44" s="4">
        <f>'AFTER TAX INCREMENTAL CASH FLOW'!$G$73/((1+F38)^A44)</f>
        <v>1351887499.9999998</v>
      </c>
      <c r="E44" s="52">
        <f t="shared" si="3"/>
        <v>12754974153.922806</v>
      </c>
    </row>
    <row r="45" spans="1:6" x14ac:dyDescent="0.35">
      <c r="A45" s="37">
        <v>4</v>
      </c>
      <c r="B45" s="3" t="s">
        <v>103</v>
      </c>
      <c r="C45" s="4">
        <f>'AFTER TAX INCREMENTAL CASH FLOW'!$D$94/((1+F38)^A45)</f>
        <v>15363805118.914825</v>
      </c>
      <c r="D45" s="4">
        <f>'AFTER TAX INCREMENTAL CASH FLOW'!$G$94/((1+F38)^A45)</f>
        <v>2130763755.3749995</v>
      </c>
      <c r="E45" s="52">
        <f t="shared" si="3"/>
        <v>13233041363.539825</v>
      </c>
    </row>
    <row r="46" spans="1:6" x14ac:dyDescent="0.35">
      <c r="A46" s="37">
        <v>5</v>
      </c>
      <c r="B46" s="3" t="s">
        <v>104</v>
      </c>
      <c r="C46" s="4">
        <f>'AFTER TAX INCREMENTAL CASH FLOW'!$D$115/((1+F38)^A46)</f>
        <v>16741448922.712713</v>
      </c>
      <c r="D46" s="4">
        <f>'AFTER TAX INCREMENTAL CASH FLOW'!$G$115/((1+F38)^A46)</f>
        <v>1654755218.7499998</v>
      </c>
      <c r="E46" s="52">
        <f t="shared" si="3"/>
        <v>15086693703.962713</v>
      </c>
    </row>
    <row r="47" spans="1:6" x14ac:dyDescent="0.35">
      <c r="A47" s="37">
        <v>6</v>
      </c>
      <c r="B47" s="3" t="s">
        <v>105</v>
      </c>
      <c r="C47" s="4">
        <f>'AFTER TAX INCREMENTAL CASH FLOW'!$D$136/((1+F38)^A47)</f>
        <v>18252131810.243118</v>
      </c>
      <c r="D47" s="4">
        <f>'AFTER TAX INCREMENTAL CASH FLOW'!$G$136/((1+F38)^A47)</f>
        <v>1836989039.0624995</v>
      </c>
      <c r="E47" s="52">
        <f t="shared" si="3"/>
        <v>16415142771.180618</v>
      </c>
    </row>
    <row r="48" spans="1:6" x14ac:dyDescent="0.35">
      <c r="A48" s="37">
        <v>7</v>
      </c>
      <c r="B48" s="3" t="s">
        <v>118</v>
      </c>
      <c r="C48" s="4">
        <f>'AFTER TAX INCREMENTAL CASH FLOW'!$D$157/((1+F38)^A48)</f>
        <v>19909513744.26379</v>
      </c>
      <c r="D48" s="4">
        <f>'AFTER TAX INCREMENTAL CASH FLOW'!$G$157/((1+F38)^A48)</f>
        <v>2043712549.296874</v>
      </c>
      <c r="E48" s="52">
        <f t="shared" si="3"/>
        <v>17865801194.966915</v>
      </c>
    </row>
    <row r="49" spans="1:6" x14ac:dyDescent="0.35">
      <c r="A49" s="37">
        <v>8</v>
      </c>
      <c r="B49" s="3" t="s">
        <v>119</v>
      </c>
      <c r="C49" s="4">
        <f>'AFTER TAX INCREMENTAL CASH FLOW'!$D$178/((1+F38)^A49)</f>
        <v>21728721898.458961</v>
      </c>
      <c r="D49" s="4">
        <f>'AFTER TAX INCREMENTAL CASH FLOW'!$G$178/((1+F38)^A49)</f>
        <v>2278442292.7851553</v>
      </c>
      <c r="E49" s="52">
        <f t="shared" si="3"/>
        <v>19450279605.673805</v>
      </c>
    </row>
    <row r="50" spans="1:6" x14ac:dyDescent="0.35">
      <c r="A50" s="37">
        <v>9</v>
      </c>
      <c r="B50" s="3" t="s">
        <v>108</v>
      </c>
      <c r="C50" s="4">
        <f>'AFTER TAX INCREMENTAL CASH FLOW'!$D$201/((1+F38)^A50)</f>
        <v>23926513109.937283</v>
      </c>
      <c r="D50" s="4">
        <f>'AFTER TAX INCREMENTAL CASH FLOW'!$G$200/((1+F38)^A50)</f>
        <v>2545212984.7513657</v>
      </c>
      <c r="E50" s="52">
        <f>C50-D50</f>
        <v>21381300125.185917</v>
      </c>
    </row>
    <row r="51" spans="1:6" x14ac:dyDescent="0.35">
      <c r="A51" s="37"/>
      <c r="B51" s="84" t="s">
        <v>84</v>
      </c>
      <c r="C51" s="4"/>
      <c r="D51" s="4"/>
      <c r="E51" s="52"/>
    </row>
    <row r="52" spans="1:6" x14ac:dyDescent="0.35">
      <c r="A52" s="37"/>
      <c r="B52" s="3"/>
      <c r="C52" s="4">
        <f>SUM('AFTER TAX INCREMENTAL CASH FLOW'!$D$203:$D$205)/((1+F38)^A50)</f>
        <v>5024567753.0868292</v>
      </c>
      <c r="D52" s="4"/>
      <c r="E52" s="52">
        <f>C52</f>
        <v>5024567753.0868292</v>
      </c>
    </row>
    <row r="53" spans="1:6" x14ac:dyDescent="0.35">
      <c r="A53" s="37"/>
      <c r="B53" s="84" t="s">
        <v>122</v>
      </c>
      <c r="C53" s="4"/>
      <c r="D53" s="4"/>
      <c r="E53" s="52"/>
    </row>
    <row r="54" spans="1:6" x14ac:dyDescent="0.35">
      <c r="A54" s="37"/>
      <c r="B54" s="3"/>
      <c r="C54" s="4">
        <f>'AFTER TAX INCREMENTAL CASH FLOW'!$G$91/((1+F38)^A50)</f>
        <v>636818130.37499964</v>
      </c>
      <c r="D54" s="4"/>
      <c r="E54" s="52">
        <f>C54</f>
        <v>636818130.37499964</v>
      </c>
    </row>
    <row r="55" spans="1:6" x14ac:dyDescent="0.35">
      <c r="A55" s="33"/>
      <c r="B55" s="38"/>
      <c r="C55" s="38"/>
      <c r="D55" s="86" t="s">
        <v>120</v>
      </c>
      <c r="E55" s="87">
        <f>SUM(E41:E54)</f>
        <v>153202391383.75443</v>
      </c>
    </row>
    <row r="56" spans="1:6" x14ac:dyDescent="0.35">
      <c r="F56" s="89"/>
    </row>
  </sheetData>
  <phoneticPr fontId="7" type="noConversion"/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E43EC-0453-4BAD-9B27-AD39313C6A5B}">
  <dimension ref="A1:L126"/>
  <sheetViews>
    <sheetView tabSelected="1" zoomScale="90" zoomScaleNormal="90" workbookViewId="0">
      <selection activeCell="F8" sqref="F8"/>
    </sheetView>
  </sheetViews>
  <sheetFormatPr defaultRowHeight="14.5" x14ac:dyDescent="0.35"/>
  <cols>
    <col min="1" max="1" width="11.81640625" bestFit="1" customWidth="1"/>
    <col min="2" max="2" width="22.7265625" customWidth="1"/>
    <col min="3" max="3" width="40" customWidth="1"/>
    <col min="4" max="4" width="23.7265625" customWidth="1"/>
    <col min="5" max="5" width="20.36328125" bestFit="1" customWidth="1"/>
    <col min="6" max="6" width="35.26953125" customWidth="1"/>
    <col min="7" max="7" width="23.7265625" customWidth="1"/>
    <col min="8" max="8" width="11.36328125" customWidth="1"/>
    <col min="9" max="9" width="18.90625" bestFit="1" customWidth="1"/>
    <col min="10" max="10" width="17.90625" bestFit="1" customWidth="1"/>
    <col min="11" max="11" width="40.36328125" customWidth="1"/>
    <col min="12" max="12" width="31.1796875" customWidth="1"/>
  </cols>
  <sheetData>
    <row r="1" spans="1:12" x14ac:dyDescent="0.35">
      <c r="E1" t="s">
        <v>139</v>
      </c>
    </row>
    <row r="2" spans="1:12" ht="28.5" customHeight="1" x14ac:dyDescent="0.35">
      <c r="B2" t="s">
        <v>124</v>
      </c>
      <c r="E2" t="s">
        <v>112</v>
      </c>
      <c r="F2" s="2" t="s">
        <v>128</v>
      </c>
      <c r="G2" s="2" t="s">
        <v>136</v>
      </c>
    </row>
    <row r="3" spans="1:12" x14ac:dyDescent="0.35">
      <c r="B3" t="s">
        <v>125</v>
      </c>
      <c r="C3" s="21">
        <f>'AFTER TAX INCREMENTAL CASH FLOW'!L13*2</f>
        <v>107692307.6923077</v>
      </c>
      <c r="D3" s="21"/>
      <c r="E3">
        <v>11</v>
      </c>
      <c r="F3" s="21">
        <f>('AFTER TAX INCREMENTAL CASH FLOW'!$L$5*(1+INTERGR)^'NPV, IRR &gt;10'!E3)+(NEWPAR*(1+NEWPARGR)^'NPV, IRR &gt;10'!E3)</f>
        <v>97251696.168573126</v>
      </c>
      <c r="G3" t="str">
        <f>IF(F3&gt;$C$3, "YES","NO")</f>
        <v>NO</v>
      </c>
    </row>
    <row r="4" spans="1:12" x14ac:dyDescent="0.35">
      <c r="B4" t="s">
        <v>126</v>
      </c>
      <c r="C4" s="20">
        <f>'AFTER TAX INCREMENTAL CASH FLOW'!G4*((1+INFL)^10)</f>
        <v>174081123.75377229</v>
      </c>
      <c r="D4" s="20"/>
      <c r="E4">
        <v>12</v>
      </c>
      <c r="F4" s="21">
        <f>('AFTER TAX INCREMENTAL CASH FLOW'!$L$5*(1+INTERGR)^'NPV, IRR &gt;10'!E4)+(NEWPAR*(1+NEWPARGR)^'NPV, IRR &gt;10'!E4)</f>
        <v>106743701.88572498</v>
      </c>
      <c r="G4" t="str">
        <f t="shared" ref="G4:G5" si="0">IF(F4&gt;$C$3, "YES","NO")</f>
        <v>NO</v>
      </c>
    </row>
    <row r="5" spans="1:12" x14ac:dyDescent="0.35">
      <c r="B5" t="s">
        <v>127</v>
      </c>
      <c r="C5" s="20">
        <f>'AFTER TAX INCREMENTAL CASH FLOW'!G5*((1+INFL)^10)</f>
        <v>1160540825.0251486</v>
      </c>
      <c r="D5" s="20"/>
      <c r="E5">
        <v>13</v>
      </c>
      <c r="F5" s="21">
        <f>('AFTER TAX INCREMENTAL CASH FLOW'!$L$5*(1+INTERGR)^'NPV, IRR &gt;10'!E5)+(NEWPAR*(1+NEWPARGR)^'NPV, IRR &gt;10'!E5)</f>
        <v>117166255.06261559</v>
      </c>
      <c r="G5" t="str">
        <f t="shared" si="0"/>
        <v>YES</v>
      </c>
    </row>
    <row r="6" spans="1:12" x14ac:dyDescent="0.35">
      <c r="B6" t="s">
        <v>90</v>
      </c>
      <c r="C6" s="20">
        <f>SERVERCOSR*((1+INFL)^12)</f>
        <v>717370902.87691998</v>
      </c>
    </row>
    <row r="7" spans="1:12" x14ac:dyDescent="0.35">
      <c r="E7" t="s">
        <v>129</v>
      </c>
    </row>
    <row r="9" spans="1:12" x14ac:dyDescent="0.35">
      <c r="A9">
        <v>10</v>
      </c>
      <c r="B9" t="s">
        <v>130</v>
      </c>
      <c r="K9" t="s">
        <v>111</v>
      </c>
      <c r="L9" s="14"/>
    </row>
    <row r="10" spans="1:12" ht="16" x14ac:dyDescent="0.5">
      <c r="C10" s="53" t="s">
        <v>70</v>
      </c>
      <c r="D10" s="30" t="s">
        <v>133</v>
      </c>
      <c r="F10" s="62" t="s">
        <v>72</v>
      </c>
      <c r="G10" s="35" t="s">
        <v>133</v>
      </c>
      <c r="H10" s="12"/>
      <c r="I10" s="12"/>
      <c r="K10" s="3" t="s">
        <v>61</v>
      </c>
      <c r="L10" s="16">
        <f>((1+USRUSGR)^A9)*USSRPAR</f>
        <v>73300258.204984874</v>
      </c>
    </row>
    <row r="11" spans="1:12" x14ac:dyDescent="0.35">
      <c r="C11" s="50" t="s">
        <v>59</v>
      </c>
      <c r="D11" s="52">
        <f>L12*(L10+L11)</f>
        <v>17537226256.8186</v>
      </c>
      <c r="F11" s="61" t="s">
        <v>75</v>
      </c>
      <c r="G11" s="28">
        <f>((1+GAGR)^A9)*GAEXP</f>
        <v>651557850.7109766</v>
      </c>
      <c r="H11" s="12"/>
      <c r="I11" s="12"/>
      <c r="K11" s="3" t="s">
        <v>62</v>
      </c>
      <c r="L11" s="16">
        <f>((1+INTERGR)^A9)*INTERPARC</f>
        <v>77812273.803000063</v>
      </c>
    </row>
    <row r="12" spans="1:12" x14ac:dyDescent="0.35">
      <c r="C12" s="50" t="s">
        <v>65</v>
      </c>
      <c r="D12" s="52">
        <f>L13*L14</f>
        <v>626380149.37559438</v>
      </c>
      <c r="F12" s="61" t="s">
        <v>100</v>
      </c>
      <c r="G12" s="28">
        <f>GAEXP2ND*((1+GA2NDGR)^(A9-1))</f>
        <v>94317907.64000006</v>
      </c>
      <c r="H12" s="12"/>
      <c r="I12" s="12"/>
      <c r="K12" s="3" t="s">
        <v>94</v>
      </c>
      <c r="L12" s="16">
        <f>100*(1+INFL)^A9</f>
        <v>116.05408250251486</v>
      </c>
    </row>
    <row r="13" spans="1:12" x14ac:dyDescent="0.35">
      <c r="C13" s="51" t="s">
        <v>95</v>
      </c>
      <c r="D13" s="52"/>
      <c r="F13" s="61" t="s">
        <v>76</v>
      </c>
      <c r="G13" s="28">
        <f>((1+ADVEXPR)^A9)*ADVEXP</f>
        <v>2022778867.8539534</v>
      </c>
      <c r="H13" s="12"/>
      <c r="I13" s="12"/>
      <c r="K13" s="3" t="s">
        <v>66</v>
      </c>
      <c r="L13" s="16">
        <f>NEWPAR*(1+NEWPARGR)^A9</f>
        <v>10794624.986363938</v>
      </c>
    </row>
    <row r="14" spans="1:12" x14ac:dyDescent="0.35">
      <c r="C14" s="50" t="s">
        <v>61</v>
      </c>
      <c r="D14" s="52">
        <f>L10*L16</f>
        <v>3062445916.7437038</v>
      </c>
      <c r="F14" s="61" t="s">
        <v>74</v>
      </c>
      <c r="G14" s="28">
        <f>C5</f>
        <v>1160540825.0251486</v>
      </c>
      <c r="H14" s="12"/>
      <c r="I14" s="12"/>
      <c r="K14" s="3" t="s">
        <v>89</v>
      </c>
      <c r="L14" s="16">
        <f>L12/2</f>
        <v>58.02704125125743</v>
      </c>
    </row>
    <row r="15" spans="1:12" x14ac:dyDescent="0.35">
      <c r="C15" s="50" t="s">
        <v>62</v>
      </c>
      <c r="D15" s="52">
        <f>L11*L17</f>
        <v>4334607380.9479895</v>
      </c>
      <c r="F15" s="61" t="s">
        <v>73</v>
      </c>
      <c r="G15" s="28">
        <f>C4</f>
        <v>174081123.75377229</v>
      </c>
      <c r="H15" s="12"/>
      <c r="I15" s="12"/>
      <c r="K15" s="3" t="s">
        <v>96</v>
      </c>
      <c r="L15" s="16">
        <f>L11+L13</f>
        <v>88606898.789363995</v>
      </c>
    </row>
    <row r="16" spans="1:12" x14ac:dyDescent="0.35">
      <c r="C16" s="50" t="s">
        <v>66</v>
      </c>
      <c r="D16" s="52">
        <f>L13*L18</f>
        <v>360794966.04034233</v>
      </c>
      <c r="F16" s="61"/>
      <c r="G16" s="28"/>
      <c r="H16" s="12"/>
      <c r="I16" s="12"/>
      <c r="K16" s="3" t="s">
        <v>97</v>
      </c>
      <c r="L16" s="16">
        <f>((1+INFL)^A9)*USSC</f>
        <v>41.779469700905345</v>
      </c>
    </row>
    <row r="17" spans="1:12" x14ac:dyDescent="0.35">
      <c r="C17" s="50"/>
      <c r="D17" s="52"/>
      <c r="F17" s="61"/>
      <c r="G17" s="28"/>
      <c r="H17" s="12"/>
      <c r="I17" s="12"/>
      <c r="K17" s="3" t="s">
        <v>98</v>
      </c>
      <c r="L17" s="16">
        <f>((1+INFL)^A9)*INTERSC</f>
        <v>55.705959601207127</v>
      </c>
    </row>
    <row r="18" spans="1:12" x14ac:dyDescent="0.35">
      <c r="C18" s="54" t="s">
        <v>71</v>
      </c>
      <c r="D18" s="55">
        <f>SUM(D11:D17)</f>
        <v>25921454669.926231</v>
      </c>
      <c r="F18" s="63" t="s">
        <v>77</v>
      </c>
      <c r="G18" s="32">
        <f>SUM(G11:G15)</f>
        <v>4103276574.983851</v>
      </c>
      <c r="H18" s="12"/>
      <c r="I18" s="12"/>
      <c r="K18" s="3" t="s">
        <v>99</v>
      </c>
      <c r="L18" s="16">
        <f>0.6*L17</f>
        <v>33.423575760724276</v>
      </c>
    </row>
    <row r="20" spans="1:12" x14ac:dyDescent="0.35">
      <c r="C20" s="53" t="s">
        <v>84</v>
      </c>
      <c r="D20" s="30" t="s">
        <v>133</v>
      </c>
    </row>
    <row r="21" spans="1:12" x14ac:dyDescent="0.35">
      <c r="C21" s="50" t="s">
        <v>78</v>
      </c>
      <c r="D21" s="52">
        <f>0.05*D18</f>
        <v>1296072733.4963117</v>
      </c>
    </row>
    <row r="22" spans="1:12" x14ac:dyDescent="0.35">
      <c r="C22" s="50" t="s">
        <v>79</v>
      </c>
      <c r="D22" s="52">
        <f>0.1*D18</f>
        <v>2592145466.9926233</v>
      </c>
    </row>
    <row r="23" spans="1:12" x14ac:dyDescent="0.35">
      <c r="C23" s="64" t="s">
        <v>80</v>
      </c>
      <c r="D23" s="55">
        <f>0.06*D18</f>
        <v>1555287280.1955738</v>
      </c>
    </row>
    <row r="26" spans="1:12" x14ac:dyDescent="0.35">
      <c r="C26" s="50" t="s">
        <v>81</v>
      </c>
      <c r="D26" s="52">
        <f>D18-G18</f>
        <v>21818178094.942379</v>
      </c>
    </row>
    <row r="27" spans="1:12" x14ac:dyDescent="0.35">
      <c r="C27" s="50" t="s">
        <v>69</v>
      </c>
      <c r="D27" s="52">
        <f>'AFTER TAX INCREMENTAL CASH FLOW'!D209</f>
        <v>48640000</v>
      </c>
    </row>
    <row r="28" spans="1:12" x14ac:dyDescent="0.35">
      <c r="C28" s="50" t="s">
        <v>67</v>
      </c>
      <c r="D28" s="52">
        <f>D26-D27</f>
        <v>21769538094.942379</v>
      </c>
    </row>
    <row r="29" spans="1:12" x14ac:dyDescent="0.35">
      <c r="C29" s="50" t="s">
        <v>68</v>
      </c>
      <c r="D29" s="52">
        <f>0.1*D28</f>
        <v>2176953809.4942379</v>
      </c>
    </row>
    <row r="30" spans="1:12" x14ac:dyDescent="0.35">
      <c r="C30" s="64" t="s">
        <v>82</v>
      </c>
      <c r="D30" s="91">
        <f>D28-D29</f>
        <v>19592584285.448143</v>
      </c>
    </row>
    <row r="31" spans="1:12" x14ac:dyDescent="0.35">
      <c r="A31">
        <v>11</v>
      </c>
      <c r="B31" t="s">
        <v>131</v>
      </c>
      <c r="L31" s="14"/>
    </row>
    <row r="32" spans="1:12" ht="16" x14ac:dyDescent="0.5">
      <c r="C32" s="53" t="s">
        <v>70</v>
      </c>
      <c r="D32" s="30" t="s">
        <v>133</v>
      </c>
      <c r="F32" s="62" t="s">
        <v>72</v>
      </c>
      <c r="G32" s="35" t="s">
        <v>133</v>
      </c>
      <c r="H32" s="12"/>
      <c r="I32" s="12"/>
      <c r="K32" s="3" t="s">
        <v>61</v>
      </c>
      <c r="L32" s="16">
        <f>((1+USRUSGR)^A31)*USSRPAR</f>
        <v>76965271.115234122</v>
      </c>
    </row>
    <row r="33" spans="3:12" x14ac:dyDescent="0.35">
      <c r="C33" s="50" t="s">
        <v>59</v>
      </c>
      <c r="D33" s="52">
        <f>L34*(L32+L33)</f>
        <v>19148593309.419235</v>
      </c>
      <c r="F33" s="61" t="s">
        <v>75</v>
      </c>
      <c r="G33" s="28">
        <f>((1+GAGR)^A31)*GAEXP</f>
        <v>684135743.24652553</v>
      </c>
      <c r="H33" s="12"/>
      <c r="I33" s="12"/>
      <c r="K33" s="3" t="s">
        <v>62</v>
      </c>
      <c r="L33" s="16">
        <f>((1+INTERGR)^A31)*INTERPARC</f>
        <v>85593501.183300078</v>
      </c>
    </row>
    <row r="34" spans="3:12" x14ac:dyDescent="0.35">
      <c r="C34" s="50" t="s">
        <v>65</v>
      </c>
      <c r="D34" s="52">
        <f>L35*L36</f>
        <v>686637919.74552643</v>
      </c>
      <c r="F34" s="61" t="s">
        <v>100</v>
      </c>
      <c r="G34" s="28">
        <f>GAEXP2ND*((1+GA2NDGR)^(A31-1))</f>
        <v>103749698.40400007</v>
      </c>
      <c r="H34" s="12"/>
      <c r="I34" s="12"/>
      <c r="K34" s="3" t="s">
        <v>94</v>
      </c>
      <c r="L34" s="16">
        <f>100*(1+INFL)^A31</f>
        <v>117.79489374005256</v>
      </c>
    </row>
    <row r="35" spans="3:12" x14ac:dyDescent="0.35">
      <c r="C35" s="51" t="s">
        <v>95</v>
      </c>
      <c r="D35" s="52"/>
      <c r="F35" s="61" t="s">
        <v>76</v>
      </c>
      <c r="G35" s="28">
        <f>((1+ADVEXPR)^A31)*ADVEXP</f>
        <v>2326195698.0320463</v>
      </c>
      <c r="H35" s="12"/>
      <c r="I35" s="12"/>
      <c r="K35" s="3" t="s">
        <v>66</v>
      </c>
      <c r="L35" s="16">
        <f>NEWPAR*(1+NEWPARGR)^A31</f>
        <v>11658194.985273054</v>
      </c>
    </row>
    <row r="36" spans="3:12" x14ac:dyDescent="0.35">
      <c r="C36" s="50" t="s">
        <v>61</v>
      </c>
      <c r="D36" s="52">
        <f>L32*L38</f>
        <v>3263801735.7696028</v>
      </c>
      <c r="F36" s="61"/>
      <c r="G36" s="28"/>
      <c r="H36" s="12"/>
      <c r="I36" s="12"/>
      <c r="K36" s="3" t="s">
        <v>89</v>
      </c>
      <c r="L36" s="16">
        <f>L34/2</f>
        <v>58.897446870026279</v>
      </c>
    </row>
    <row r="37" spans="3:12" x14ac:dyDescent="0.35">
      <c r="C37" s="50" t="s">
        <v>62</v>
      </c>
      <c r="D37" s="52">
        <f>L33*L39</f>
        <v>4839589140.8284302</v>
      </c>
      <c r="F37" s="61"/>
      <c r="G37" s="28"/>
      <c r="H37" s="12"/>
      <c r="I37" s="12"/>
      <c r="K37" s="3" t="s">
        <v>96</v>
      </c>
      <c r="L37" s="16">
        <f>L33+L35</f>
        <v>97251696.168573126</v>
      </c>
    </row>
    <row r="38" spans="3:12" x14ac:dyDescent="0.35">
      <c r="C38" s="50" t="s">
        <v>66</v>
      </c>
      <c r="D38" s="52">
        <f>L35*L40</f>
        <v>395503441.77342325</v>
      </c>
      <c r="F38" s="61"/>
      <c r="G38" s="28"/>
      <c r="H38" s="12"/>
      <c r="I38" s="12"/>
      <c r="K38" s="3" t="s">
        <v>97</v>
      </c>
      <c r="L38" s="16">
        <f>((1+INFL)^A31)*USSC</f>
        <v>42.406161746418924</v>
      </c>
    </row>
    <row r="39" spans="3:12" x14ac:dyDescent="0.35">
      <c r="C39" s="50"/>
      <c r="D39" s="52"/>
      <c r="F39" s="61"/>
      <c r="G39" s="28"/>
      <c r="H39" s="12"/>
      <c r="I39" s="12"/>
      <c r="K39" s="3" t="s">
        <v>98</v>
      </c>
      <c r="L39" s="16">
        <f>((1+INFL)^A31)*INTERSC</f>
        <v>56.541548995225227</v>
      </c>
    </row>
    <row r="40" spans="3:12" x14ac:dyDescent="0.35">
      <c r="C40" s="54" t="s">
        <v>71</v>
      </c>
      <c r="D40" s="55">
        <f>SUM(D33:D39)</f>
        <v>28334125547.536217</v>
      </c>
      <c r="F40" s="63" t="s">
        <v>77</v>
      </c>
      <c r="G40" s="32">
        <f>SUM(G33:G37)</f>
        <v>3114081139.6825719</v>
      </c>
      <c r="H40" s="12"/>
      <c r="I40" s="12"/>
      <c r="K40" s="3" t="s">
        <v>99</v>
      </c>
      <c r="L40" s="16">
        <f>0.6*L39</f>
        <v>33.924929397135138</v>
      </c>
    </row>
    <row r="42" spans="3:12" x14ac:dyDescent="0.35">
      <c r="C42" s="53" t="s">
        <v>84</v>
      </c>
      <c r="D42" s="30" t="s">
        <v>133</v>
      </c>
    </row>
    <row r="43" spans="3:12" x14ac:dyDescent="0.35">
      <c r="C43" s="50" t="s">
        <v>78</v>
      </c>
      <c r="D43" s="52">
        <f>0.05*D40</f>
        <v>1416706277.376811</v>
      </c>
    </row>
    <row r="44" spans="3:12" x14ac:dyDescent="0.35">
      <c r="C44" s="50" t="s">
        <v>79</v>
      </c>
      <c r="D44" s="52">
        <f>0.1*D40</f>
        <v>2833412554.7536221</v>
      </c>
    </row>
    <row r="45" spans="3:12" x14ac:dyDescent="0.35">
      <c r="C45" s="64" t="s">
        <v>80</v>
      </c>
      <c r="D45" s="55">
        <f>0.06*D40</f>
        <v>1700047532.8521729</v>
      </c>
    </row>
    <row r="48" spans="3:12" x14ac:dyDescent="0.35">
      <c r="C48" s="50" t="s">
        <v>81</v>
      </c>
      <c r="D48" s="52">
        <f>D40-G40</f>
        <v>25220044407.853645</v>
      </c>
    </row>
    <row r="49" spans="1:12" x14ac:dyDescent="0.35">
      <c r="C49" s="50" t="s">
        <v>69</v>
      </c>
      <c r="D49" s="52">
        <f>D27</f>
        <v>48640000</v>
      </c>
    </row>
    <row r="50" spans="1:12" x14ac:dyDescent="0.35">
      <c r="C50" s="50" t="s">
        <v>67</v>
      </c>
      <c r="D50" s="52">
        <f>D48-D49</f>
        <v>25171404407.853645</v>
      </c>
    </row>
    <row r="51" spans="1:12" x14ac:dyDescent="0.35">
      <c r="C51" s="50" t="s">
        <v>68</v>
      </c>
      <c r="D51" s="52">
        <f>0.1*D50</f>
        <v>2517140440.7853646</v>
      </c>
    </row>
    <row r="52" spans="1:12" x14ac:dyDescent="0.35">
      <c r="C52" s="64" t="s">
        <v>82</v>
      </c>
      <c r="D52" s="91">
        <f>D50-D51</f>
        <v>22654263967.068279</v>
      </c>
    </row>
    <row r="53" spans="1:12" x14ac:dyDescent="0.35">
      <c r="A53">
        <v>12</v>
      </c>
      <c r="B53" t="s">
        <v>132</v>
      </c>
      <c r="L53" s="14"/>
    </row>
    <row r="54" spans="1:12" ht="16" x14ac:dyDescent="0.5">
      <c r="C54" s="53" t="s">
        <v>70</v>
      </c>
      <c r="D54" s="30" t="s">
        <v>133</v>
      </c>
      <c r="F54" s="62" t="s">
        <v>72</v>
      </c>
      <c r="G54" s="35" t="s">
        <v>133</v>
      </c>
      <c r="H54" s="12"/>
      <c r="I54" s="12"/>
      <c r="K54" s="3" t="s">
        <v>61</v>
      </c>
      <c r="L54" s="16">
        <f>((1+USRUSGR)^A53)*USSRPAR</f>
        <v>80813534.670995817</v>
      </c>
    </row>
    <row r="55" spans="1:12" x14ac:dyDescent="0.35">
      <c r="C55" s="50" t="s">
        <v>59</v>
      </c>
      <c r="D55" s="52">
        <f>L56*(L54+L55)</f>
        <v>20919299046.382385</v>
      </c>
      <c r="F55" s="61" t="s">
        <v>75</v>
      </c>
      <c r="G55" s="28">
        <f>((1+GAGR)^A53)*GAEXP</f>
        <v>718342530.40885162</v>
      </c>
      <c r="H55" s="12"/>
      <c r="I55" s="12"/>
      <c r="K55" s="3" t="s">
        <v>62</v>
      </c>
      <c r="L55" s="16">
        <f>((1+INTERGR)^A53)*INTERPARC</f>
        <v>94152851.30163008</v>
      </c>
    </row>
    <row r="56" spans="1:12" x14ac:dyDescent="0.35">
      <c r="C56" s="50" t="s">
        <v>65</v>
      </c>
      <c r="D56" s="52">
        <f>L57*L58</f>
        <v>752692487.62504601</v>
      </c>
      <c r="F56" s="61" t="s">
        <v>100</v>
      </c>
      <c r="G56" s="28">
        <f>GAEXP2ND*((1+GA2NDGR)^(A53-1))</f>
        <v>114124668.2444001</v>
      </c>
      <c r="H56" s="12"/>
      <c r="I56" s="12"/>
      <c r="K56" s="3" t="s">
        <v>94</v>
      </c>
      <c r="L56" s="16">
        <f>100*(1+INFL)^A53</f>
        <v>119.56181714615333</v>
      </c>
    </row>
    <row r="57" spans="1:12" x14ac:dyDescent="0.35">
      <c r="C57" s="51" t="s">
        <v>95</v>
      </c>
      <c r="D57" s="52"/>
      <c r="F57" s="61" t="s">
        <v>76</v>
      </c>
      <c r="G57" s="28">
        <f>((1+ADVEXPR)^A53)*ADVEXP</f>
        <v>2675125052.7368526</v>
      </c>
      <c r="H57" s="12"/>
      <c r="I57" s="12"/>
      <c r="K57" s="3" t="s">
        <v>66</v>
      </c>
      <c r="L57" s="16">
        <f>NEWPAR*(1+NEWPARGR)^A53</f>
        <v>12590850.584094899</v>
      </c>
    </row>
    <row r="58" spans="1:12" x14ac:dyDescent="0.35">
      <c r="C58" s="50" t="s">
        <v>61</v>
      </c>
      <c r="D58" s="52">
        <f>L54*L60</f>
        <v>3478396699.8964524</v>
      </c>
      <c r="F58" s="61" t="s">
        <v>90</v>
      </c>
      <c r="G58" s="28">
        <f>C6</f>
        <v>717370902.87691998</v>
      </c>
      <c r="H58" s="12"/>
      <c r="I58" s="12"/>
      <c r="K58" s="3" t="s">
        <v>89</v>
      </c>
      <c r="L58" s="16">
        <f>L56/2</f>
        <v>59.780908573076665</v>
      </c>
    </row>
    <row r="59" spans="1:12" x14ac:dyDescent="0.35">
      <c r="C59" s="50" t="s">
        <v>62</v>
      </c>
      <c r="D59" s="52">
        <f>L55*L61</f>
        <v>5403401275.7349405</v>
      </c>
      <c r="F59" s="61"/>
      <c r="G59" s="28"/>
      <c r="H59" s="12"/>
      <c r="I59" s="12"/>
      <c r="K59" s="3" t="s">
        <v>96</v>
      </c>
      <c r="L59" s="16">
        <f>L55+L57</f>
        <v>106743701.88572498</v>
      </c>
    </row>
    <row r="60" spans="1:12" x14ac:dyDescent="0.35">
      <c r="C60" s="50" t="s">
        <v>66</v>
      </c>
      <c r="D60" s="52">
        <f>L57*L62</f>
        <v>433550872.8720265</v>
      </c>
      <c r="F60" s="61"/>
      <c r="G60" s="28"/>
      <c r="H60" s="12"/>
      <c r="I60" s="12"/>
      <c r="K60" s="3" t="s">
        <v>97</v>
      </c>
      <c r="L60" s="16">
        <f>((1+INFL)^A53)*USSC</f>
        <v>43.042254172615195</v>
      </c>
    </row>
    <row r="61" spans="1:12" x14ac:dyDescent="0.35">
      <c r="C61" s="50"/>
      <c r="D61" s="52"/>
      <c r="F61" s="61"/>
      <c r="G61" s="28"/>
      <c r="H61" s="12"/>
      <c r="I61" s="12"/>
      <c r="K61" s="3" t="s">
        <v>98</v>
      </c>
      <c r="L61" s="16">
        <f>((1+INFL)^A53)*INTERSC</f>
        <v>57.389672230153593</v>
      </c>
    </row>
    <row r="62" spans="1:12" x14ac:dyDescent="0.35">
      <c r="C62" s="54" t="s">
        <v>71</v>
      </c>
      <c r="D62" s="55">
        <f>SUM(D55:D61)</f>
        <v>30987340382.510853</v>
      </c>
      <c r="F62" s="63" t="s">
        <v>77</v>
      </c>
      <c r="G62" s="32">
        <f>SUM(G55:G59)</f>
        <v>4224963154.267024</v>
      </c>
      <c r="H62" s="12"/>
      <c r="I62" s="12"/>
      <c r="K62" s="3" t="s">
        <v>99</v>
      </c>
      <c r="L62" s="16">
        <f>0.6*L61</f>
        <v>34.433803338092154</v>
      </c>
    </row>
    <row r="64" spans="1:12" x14ac:dyDescent="0.35">
      <c r="C64" s="53" t="s">
        <v>84</v>
      </c>
      <c r="D64" s="30" t="s">
        <v>133</v>
      </c>
    </row>
    <row r="65" spans="1:12" x14ac:dyDescent="0.35">
      <c r="C65" s="50" t="s">
        <v>78</v>
      </c>
      <c r="D65" s="52">
        <f>0.05*D62</f>
        <v>1549367019.1255426</v>
      </c>
    </row>
    <row r="66" spans="1:12" x14ac:dyDescent="0.35">
      <c r="C66" s="50" t="s">
        <v>79</v>
      </c>
      <c r="D66" s="52">
        <f>0.1*D62</f>
        <v>3098734038.2510853</v>
      </c>
    </row>
    <row r="67" spans="1:12" x14ac:dyDescent="0.35">
      <c r="C67" s="64" t="s">
        <v>80</v>
      </c>
      <c r="D67" s="55">
        <f>0.06*D62</f>
        <v>1859240422.9506512</v>
      </c>
    </row>
    <row r="70" spans="1:12" x14ac:dyDescent="0.35">
      <c r="C70" s="50" t="s">
        <v>81</v>
      </c>
      <c r="D70" s="52">
        <f>D62-G62</f>
        <v>26762377228.243828</v>
      </c>
    </row>
    <row r="71" spans="1:12" x14ac:dyDescent="0.35">
      <c r="C71" s="50" t="s">
        <v>69</v>
      </c>
      <c r="D71" s="52">
        <f>D49</f>
        <v>48640000</v>
      </c>
    </row>
    <row r="72" spans="1:12" x14ac:dyDescent="0.35">
      <c r="C72" s="50" t="s">
        <v>67</v>
      </c>
      <c r="D72" s="52">
        <f>D70-D71</f>
        <v>26713737228.243828</v>
      </c>
    </row>
    <row r="73" spans="1:12" x14ac:dyDescent="0.35">
      <c r="C73" s="50" t="s">
        <v>68</v>
      </c>
      <c r="D73" s="52">
        <f>0.1*D72</f>
        <v>2671373722.8243828</v>
      </c>
    </row>
    <row r="74" spans="1:12" x14ac:dyDescent="0.35">
      <c r="C74" s="64" t="s">
        <v>82</v>
      </c>
      <c r="D74" s="91">
        <f>D72-D73</f>
        <v>24042363505.419445</v>
      </c>
    </row>
    <row r="75" spans="1:12" x14ac:dyDescent="0.35">
      <c r="C75" t="s">
        <v>116</v>
      </c>
      <c r="F75" s="23">
        <v>0.11</v>
      </c>
      <c r="H75" t="s">
        <v>121</v>
      </c>
    </row>
    <row r="76" spans="1:12" x14ac:dyDescent="0.35">
      <c r="I76" t="s">
        <v>121</v>
      </c>
      <c r="L76" s="95">
        <v>1.4468829814427668E+16</v>
      </c>
    </row>
    <row r="77" spans="1:12" x14ac:dyDescent="0.35">
      <c r="C77" t="s">
        <v>70</v>
      </c>
      <c r="D77" t="s">
        <v>72</v>
      </c>
    </row>
    <row r="78" spans="1:12" x14ac:dyDescent="0.35">
      <c r="A78">
        <v>10</v>
      </c>
      <c r="B78" t="s">
        <v>130</v>
      </c>
      <c r="C78" s="20">
        <f>$D$18/((1+F75)^A78)</f>
        <v>9129134002.0039406</v>
      </c>
      <c r="D78" s="20">
        <f>$G$18/((1+F75)^A78)</f>
        <v>1445110321.8281674</v>
      </c>
      <c r="E78" s="20">
        <f>C78-D78</f>
        <v>7684023680.1757736</v>
      </c>
      <c r="I78" t="s">
        <v>70</v>
      </c>
      <c r="J78" t="s">
        <v>72</v>
      </c>
    </row>
    <row r="79" spans="1:12" x14ac:dyDescent="0.35">
      <c r="A79">
        <v>11</v>
      </c>
      <c r="B79" t="s">
        <v>131</v>
      </c>
      <c r="C79" s="20">
        <f>$D$40/((1+F75)^A79)</f>
        <v>8989945258.9994144</v>
      </c>
      <c r="D79" s="20">
        <f>$G$40/((1+F75)^A79)</f>
        <v>988045984.72117519</v>
      </c>
      <c r="E79" s="20">
        <f>C79-D79</f>
        <v>8001899274.2782393</v>
      </c>
      <c r="G79">
        <v>0</v>
      </c>
      <c r="H79" t="s">
        <v>83</v>
      </c>
      <c r="I79" s="20">
        <f>'AFTER TAX INCREMENTAL CASH FLOW'!D10</f>
        <v>10954000000</v>
      </c>
      <c r="J79" s="22">
        <f>'AFTER TAX INCREMENTAL CASH FLOW'!G10</f>
        <v>2130000000</v>
      </c>
      <c r="K79" s="20">
        <f>I79-J79</f>
        <v>8824000000</v>
      </c>
    </row>
    <row r="80" spans="1:12" x14ac:dyDescent="0.35">
      <c r="A80">
        <v>12</v>
      </c>
      <c r="B80" t="s">
        <v>132</v>
      </c>
      <c r="C80" s="20">
        <f>$D$62/((1+F75)^A80)</f>
        <v>8857446896.5356503</v>
      </c>
      <c r="D80" s="20">
        <f>$G$62/((1+F75)^A80)</f>
        <v>1207666947.753315</v>
      </c>
      <c r="E80" s="20">
        <f>C80-D80</f>
        <v>7649779948.7823353</v>
      </c>
      <c r="G80">
        <v>1</v>
      </c>
      <c r="H80" t="s">
        <v>86</v>
      </c>
      <c r="I80" s="20">
        <f>'AFTER TAX INCREMENTAL CASH FLOW'!D31/((1+L76)^G80)</f>
        <v>8.2325612732844042E-7</v>
      </c>
      <c r="J80" s="20">
        <f>'AFTER TAX INCREMENTAL CASH FLOW'!G31/((1+L76)^G80)</f>
        <v>7.7062209888471568E-8</v>
      </c>
      <c r="K80" s="20">
        <f t="shared" ref="K80:K92" si="1">I80-J80</f>
        <v>7.4619391743996883E-7</v>
      </c>
    </row>
    <row r="81" spans="1:11" x14ac:dyDescent="0.35">
      <c r="C81" s="20"/>
      <c r="D81" s="20"/>
      <c r="E81" s="20"/>
      <c r="G81">
        <v>2</v>
      </c>
      <c r="H81" t="s">
        <v>117</v>
      </c>
      <c r="I81" s="20">
        <f>'AFTER TAX INCREMENTAL CASH FLOW'!D52/((1+L76)^G81)</f>
        <v>6.1904242912467317E-23</v>
      </c>
      <c r="J81" s="22">
        <f>'AFTER TAX INCREMENTAL CASH FLOW'!G52/((1+L76)^G81)</f>
        <v>5.8574987363810276E-24</v>
      </c>
      <c r="K81" s="20">
        <f t="shared" si="1"/>
        <v>5.6046744176086285E-23</v>
      </c>
    </row>
    <row r="82" spans="1:11" x14ac:dyDescent="0.35">
      <c r="C82" s="20"/>
      <c r="D82" s="20" t="s">
        <v>137</v>
      </c>
      <c r="E82" s="20">
        <f>SUM('NPV, IRR'!E5:E14)</f>
        <v>147541005500.2926</v>
      </c>
      <c r="G82">
        <v>3</v>
      </c>
      <c r="H82" t="s">
        <v>102</v>
      </c>
      <c r="I82" s="20">
        <f>'AFTER TAX INCREMENTAL CASH FLOW'!D73/((1+L76)^G82)</f>
        <v>4.6572567628870928E-39</v>
      </c>
      <c r="J82" s="20">
        <f>'AFTER TAX INCREMENTAL CASH FLOW'!G73/((1+L76)^G82)</f>
        <v>4.4631381213600553E-40</v>
      </c>
      <c r="K82" s="20">
        <f t="shared" si="1"/>
        <v>4.2109429507510876E-39</v>
      </c>
    </row>
    <row r="83" spans="1:11" x14ac:dyDescent="0.35">
      <c r="C83" s="20"/>
      <c r="D83" s="93" t="s">
        <v>120</v>
      </c>
      <c r="E83" s="93">
        <f>SUM(E78:E82)</f>
        <v>170876708403.52896</v>
      </c>
      <c r="G83">
        <v>4</v>
      </c>
      <c r="H83" t="s">
        <v>103</v>
      </c>
      <c r="I83" s="20">
        <f>'AFTER TAX INCREMENTAL CASH FLOW'!D94/((1+L76)^G83)</f>
        <v>3.5056225685644434E-55</v>
      </c>
      <c r="J83" s="20">
        <f>'AFTER TAX INCREMENTAL CASH FLOW'!G94/((1+L76)^G83)</f>
        <v>4.861851247986489E-56</v>
      </c>
      <c r="K83" s="20">
        <f t="shared" si="1"/>
        <v>3.0194374437657944E-55</v>
      </c>
    </row>
    <row r="84" spans="1:11" x14ac:dyDescent="0.35">
      <c r="C84" s="20"/>
      <c r="D84" s="94"/>
      <c r="E84" s="94"/>
      <c r="I84" s="20"/>
      <c r="J84" s="20"/>
      <c r="K84" s="20"/>
    </row>
    <row r="85" spans="1:11" x14ac:dyDescent="0.35">
      <c r="C85" s="20"/>
      <c r="E85" t="s">
        <v>123</v>
      </c>
      <c r="F85" s="23">
        <v>0.1</v>
      </c>
      <c r="G85">
        <v>5</v>
      </c>
      <c r="H85" t="s">
        <v>104</v>
      </c>
      <c r="I85" s="20">
        <f>'AFTER TAX INCREMENTAL CASH FLOW'!D115/((1+L76)^G85)</f>
        <v>2.6401341830848524E-71</v>
      </c>
      <c r="J85" s="20">
        <f>'AFTER TAX INCREMENTAL CASH FLOW'!G115/((1+L76)^G85)</f>
        <v>2.6095565789009551E-72</v>
      </c>
      <c r="K85" s="20">
        <f t="shared" si="1"/>
        <v>2.3791785251947569E-71</v>
      </c>
    </row>
    <row r="86" spans="1:11" x14ac:dyDescent="0.35">
      <c r="F86" s="19"/>
      <c r="G86">
        <v>6</v>
      </c>
      <c r="H86" t="s">
        <v>105</v>
      </c>
      <c r="I86" s="20">
        <f>'AFTER TAX INCREMENTAL CASH FLOW'!D136/((1+L76)^G86)</f>
        <v>1.9893589219709002E-87</v>
      </c>
      <c r="J86" s="20">
        <f>'AFTER TAX INCREMENTAL CASH FLOW'!G136/((1+L76)^G86)</f>
        <v>2.0021938107913857E-88</v>
      </c>
      <c r="K86" s="20">
        <f t="shared" si="1"/>
        <v>1.7891395408917618E-87</v>
      </c>
    </row>
    <row r="87" spans="1:11" x14ac:dyDescent="0.35">
      <c r="C87" t="s">
        <v>70</v>
      </c>
      <c r="D87" t="s">
        <v>72</v>
      </c>
      <c r="G87">
        <v>7</v>
      </c>
      <c r="H87" t="s">
        <v>118</v>
      </c>
      <c r="I87" s="20">
        <f>'AFTER TAX INCREMENTAL CASH FLOW'!D157/((1+L76)^G87)</f>
        <v>1.4997773635987461E-103</v>
      </c>
      <c r="J87" s="20">
        <f>'AFTER TAX INCREMENTAL CASH FLOW'!G157/((1+L76)^G87)</f>
        <v>1.5395221894965869E-104</v>
      </c>
      <c r="K87" s="20">
        <f t="shared" si="1"/>
        <v>1.3458251446490873E-103</v>
      </c>
    </row>
    <row r="88" spans="1:11" x14ac:dyDescent="0.35">
      <c r="A88">
        <v>10</v>
      </c>
      <c r="B88" t="s">
        <v>130</v>
      </c>
      <c r="C88" s="20">
        <f>$D$18/((1+F85)^A88)</f>
        <v>9993842900.2418499</v>
      </c>
      <c r="D88" s="20">
        <f>$G$18/((1+F85)^A88)</f>
        <v>1581990748.1584156</v>
      </c>
      <c r="E88" s="20">
        <f>C88-D88</f>
        <v>8411852152.0834341</v>
      </c>
      <c r="G88">
        <v>8</v>
      </c>
      <c r="H88" t="s">
        <v>119</v>
      </c>
      <c r="I88" s="20">
        <f>'AFTER TAX INCREMENTAL CASH FLOW'!D178/((1+L76)^G88)</f>
        <v>1.1312716775130734E-119</v>
      </c>
      <c r="J88" s="20">
        <f>'AFTER TAX INCREMENTAL CASH FLOW'!G178/((1+L76)^G88)</f>
        <v>1.186235088617246E-120</v>
      </c>
      <c r="K88" s="20">
        <f t="shared" si="1"/>
        <v>1.0126481686513489E-119</v>
      </c>
    </row>
    <row r="89" spans="1:11" x14ac:dyDescent="0.35">
      <c r="A89">
        <v>11</v>
      </c>
      <c r="B89" t="s">
        <v>131</v>
      </c>
      <c r="C89" s="20">
        <f>$D$40/((1+F85)^A89)</f>
        <v>9930938151.5513058</v>
      </c>
      <c r="D89" s="20">
        <f>$G$40/((1+F85)^A89)</f>
        <v>1091466441.9488027</v>
      </c>
      <c r="E89" s="20">
        <f>C89-D89</f>
        <v>8839471709.6025028</v>
      </c>
      <c r="G89">
        <v>9</v>
      </c>
      <c r="H89" t="s">
        <v>108</v>
      </c>
      <c r="I89" s="20">
        <f>'AFTER TAX INCREMENTAL CASH FLOW'!D201/((1+L76)^G89)</f>
        <v>8.6095159791697637E-136</v>
      </c>
      <c r="J89" s="20">
        <f>'AFTER TAX INCREMENTAL CASH FLOW'!G200/((1+L76)^G89)</f>
        <v>9.1584811217252579E-137</v>
      </c>
      <c r="K89" s="20">
        <f t="shared" si="1"/>
        <v>7.6936678669972374E-136</v>
      </c>
    </row>
    <row r="90" spans="1:11" x14ac:dyDescent="0.35">
      <c r="A90">
        <v>12</v>
      </c>
      <c r="B90" t="s">
        <v>132</v>
      </c>
      <c r="C90" s="20">
        <f>$D$62/((1+F85)^A90)</f>
        <v>9873521604.7485867</v>
      </c>
      <c r="D90" s="20">
        <f>$G$62/((1+F85)^A90)</f>
        <v>1346203464.6402292</v>
      </c>
      <c r="E90" s="20">
        <f>C90-D90</f>
        <v>8527318140.1083574</v>
      </c>
      <c r="G90">
        <v>10</v>
      </c>
      <c r="H90" t="s">
        <v>130</v>
      </c>
      <c r="I90" s="20">
        <f>D18/((1+L76)^G90)</f>
        <v>6.4465192780790742E-152</v>
      </c>
      <c r="J90" s="20">
        <f>G18/((1+L76)^G90)</f>
        <v>1.0204616940195412E-152</v>
      </c>
      <c r="K90" s="20">
        <f>I90-J90</f>
        <v>5.4260575840595332E-152</v>
      </c>
    </row>
    <row r="91" spans="1:11" x14ac:dyDescent="0.35">
      <c r="C91" s="20"/>
      <c r="D91" t="s">
        <v>137</v>
      </c>
      <c r="E91" s="20">
        <f>SUM('NPV, IRR'!E23:E32)</f>
        <v>147541005500.2926</v>
      </c>
      <c r="G91">
        <v>11</v>
      </c>
      <c r="H91" t="s">
        <v>131</v>
      </c>
      <c r="I91" s="20">
        <f>D40/((1+L76)^G91)</f>
        <v>4.8701498187531647E-168</v>
      </c>
      <c r="J91" s="20">
        <f>G40/((1+L76)^G91)</f>
        <v>5.352570938730271E-169</v>
      </c>
      <c r="K91" s="20">
        <f t="shared" si="1"/>
        <v>4.3348927248801376E-168</v>
      </c>
    </row>
    <row r="92" spans="1:11" x14ac:dyDescent="0.35">
      <c r="C92" s="20"/>
      <c r="D92" s="92" t="s">
        <v>120</v>
      </c>
      <c r="E92" s="93">
        <f>SUM(E87:E91)</f>
        <v>173319647502.08688</v>
      </c>
      <c r="G92">
        <v>12</v>
      </c>
      <c r="H92" t="s">
        <v>132</v>
      </c>
      <c r="I92" s="20">
        <f>D62/((1+L76)^G92)</f>
        <v>3.6811490452597968E-184</v>
      </c>
      <c r="J92" s="20">
        <f>G62/((1+L76)^G92)</f>
        <v>5.0190558110517209E-185</v>
      </c>
      <c r="K92" s="20">
        <f t="shared" si="1"/>
        <v>3.1792434641546248E-184</v>
      </c>
    </row>
    <row r="93" spans="1:11" x14ac:dyDescent="0.35">
      <c r="C93" s="20"/>
      <c r="D93" s="90"/>
      <c r="E93" s="94"/>
      <c r="I93" s="20"/>
      <c r="J93" s="20"/>
      <c r="K93" s="20"/>
    </row>
    <row r="94" spans="1:11" x14ac:dyDescent="0.35">
      <c r="E94" t="s">
        <v>123</v>
      </c>
      <c r="F94" s="23">
        <v>0.15</v>
      </c>
    </row>
    <row r="95" spans="1:11" x14ac:dyDescent="0.35">
      <c r="J95" t="s">
        <v>120</v>
      </c>
      <c r="K95" s="20">
        <f>SUM(K79:K92)</f>
        <v>8824000000</v>
      </c>
    </row>
    <row r="96" spans="1:11" x14ac:dyDescent="0.35">
      <c r="C96" t="s">
        <v>70</v>
      </c>
      <c r="D96" t="s">
        <v>72</v>
      </c>
    </row>
    <row r="97" spans="1:5" x14ac:dyDescent="0.35">
      <c r="A97">
        <v>10</v>
      </c>
      <c r="B97" t="s">
        <v>130</v>
      </c>
      <c r="C97" s="20">
        <f>$D$18/((1+F94)^A97)</f>
        <v>6407387154.8369827</v>
      </c>
      <c r="D97" s="20">
        <f>$G$18/((1+F94)^A97)</f>
        <v>1014267214.3241194</v>
      </c>
      <c r="E97" s="20">
        <f>C97-D97</f>
        <v>5393119940.5128632</v>
      </c>
    </row>
    <row r="98" spans="1:5" x14ac:dyDescent="0.35">
      <c r="A98">
        <v>11</v>
      </c>
      <c r="B98" t="s">
        <v>131</v>
      </c>
      <c r="C98" s="20">
        <f>$D$40/((1+F94)^A98)</f>
        <v>6090228257.9893847</v>
      </c>
      <c r="D98" s="20">
        <f>$G$40/((1+F94)^A98)</f>
        <v>669350635.95833194</v>
      </c>
      <c r="E98" s="20">
        <f>C98-D98</f>
        <v>5420877622.0310526</v>
      </c>
    </row>
    <row r="99" spans="1:5" x14ac:dyDescent="0.35">
      <c r="A99">
        <v>12</v>
      </c>
      <c r="B99" t="s">
        <v>132</v>
      </c>
      <c r="C99" s="20">
        <f>$D$62/((1+F94)^A99)</f>
        <v>5791755482.7592993</v>
      </c>
      <c r="D99" s="20">
        <f>$G$62/((1+F94)^A99)</f>
        <v>789675822.8077172</v>
      </c>
      <c r="E99" s="20">
        <f>C99-D99</f>
        <v>5002079659.951582</v>
      </c>
    </row>
    <row r="100" spans="1:5" x14ac:dyDescent="0.35">
      <c r="C100" s="20"/>
      <c r="D100" t="s">
        <v>137</v>
      </c>
      <c r="E100" s="20">
        <f>SUM('NPV, IRR'!E41:E50)</f>
        <v>147541005500.2926</v>
      </c>
    </row>
    <row r="101" spans="1:5" x14ac:dyDescent="0.35">
      <c r="C101" s="20"/>
      <c r="D101" s="92" t="s">
        <v>120</v>
      </c>
      <c r="E101" s="93">
        <f>SUM(E96:E100)</f>
        <v>163357082722.78809</v>
      </c>
    </row>
    <row r="102" spans="1:5" s="90" customFormat="1" x14ac:dyDescent="0.35">
      <c r="C102" s="94"/>
      <c r="E102" s="94"/>
    </row>
    <row r="103" spans="1:5" x14ac:dyDescent="0.35">
      <c r="B103" s="19"/>
    </row>
    <row r="106" spans="1:5" x14ac:dyDescent="0.35">
      <c r="C106" s="20"/>
    </row>
    <row r="107" spans="1:5" x14ac:dyDescent="0.35">
      <c r="C107" s="20"/>
    </row>
    <row r="108" spans="1:5" x14ac:dyDescent="0.35">
      <c r="C108" s="20"/>
    </row>
    <row r="111" spans="1:5" s="90" customFormat="1" x14ac:dyDescent="0.35"/>
    <row r="115" spans="3:3" x14ac:dyDescent="0.35">
      <c r="C115" s="20"/>
    </row>
    <row r="116" spans="3:3" x14ac:dyDescent="0.35">
      <c r="C116" s="20"/>
    </row>
    <row r="117" spans="3:3" x14ac:dyDescent="0.35">
      <c r="C117" s="20"/>
    </row>
    <row r="120" spans="3:3" s="90" customFormat="1" x14ac:dyDescent="0.35"/>
    <row r="124" spans="3:3" x14ac:dyDescent="0.35">
      <c r="C124" s="20"/>
    </row>
    <row r="125" spans="3:3" x14ac:dyDescent="0.35">
      <c r="C125" s="20"/>
    </row>
    <row r="126" spans="3:3" x14ac:dyDescent="0.35">
      <c r="C126" s="20"/>
    </row>
  </sheetData>
  <pageMargins left="0.7" right="0.7" top="0.75" bottom="0.75" header="0.3" footer="0.3"/>
  <pageSetup orientation="portrait" r:id="rId1"/>
  <tableParts count="1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20</vt:i4>
      </vt:variant>
    </vt:vector>
  </HeadingPairs>
  <TitlesOfParts>
    <vt:vector size="24" baseType="lpstr">
      <vt:lpstr>SUMMARY</vt:lpstr>
      <vt:lpstr>AFTER TAX INCREMENTAL CASH FLOW</vt:lpstr>
      <vt:lpstr>NPV, IRR</vt:lpstr>
      <vt:lpstr>NPV, IRR &gt;10</vt:lpstr>
      <vt:lpstr>ADVEXP</vt:lpstr>
      <vt:lpstr>ADVEXPR</vt:lpstr>
      <vt:lpstr>EC</vt:lpstr>
      <vt:lpstr>GA2NDGR</vt:lpstr>
      <vt:lpstr>GAEXP</vt:lpstr>
      <vt:lpstr>GAEXP2ND</vt:lpstr>
      <vt:lpstr>GAGR</vt:lpstr>
      <vt:lpstr>INFL</vt:lpstr>
      <vt:lpstr>INTERGR</vt:lpstr>
      <vt:lpstr>INTERPAR</vt:lpstr>
      <vt:lpstr>INTERPARC</vt:lpstr>
      <vt:lpstr>INTERSC</vt:lpstr>
      <vt:lpstr>NEWPAR</vt:lpstr>
      <vt:lpstr>NEWPARGR</vt:lpstr>
      <vt:lpstr>SERVERCOSR</vt:lpstr>
      <vt:lpstr>SERVERCOST</vt:lpstr>
      <vt:lpstr>USRUSGR</vt:lpstr>
      <vt:lpstr>USRUSPAR</vt:lpstr>
      <vt:lpstr>USSC</vt:lpstr>
      <vt:lpstr>USSRPAR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kunal</dc:creator>
  <cp:lastModifiedBy>kunal</cp:lastModifiedBy>
  <dcterms:created xsi:type="dcterms:W3CDTF">2022-02-13T06:30:46Z</dcterms:created>
  <dcterms:modified xsi:type="dcterms:W3CDTF">2022-02-15T12:48:01Z</dcterms:modified>
</cp:coreProperties>
</file>